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финишный протокол общий" sheetId="1" r:id="rId4"/>
    <sheet state="visible" name="20 км" sheetId="2" r:id="rId5"/>
    <sheet state="visible" name="35 км" sheetId="3" r:id="rId6"/>
    <sheet state="visible" name="45 км" sheetId="4" r:id="rId7"/>
    <sheet state="visible" name="65 км" sheetId="5" r:id="rId8"/>
    <sheet state="visible" name="100 км" sheetId="6" r:id="rId9"/>
    <sheet state="visible" name="стартовый протокол" sheetId="7" r:id="rId10"/>
  </sheets>
  <definedNames>
    <definedName hidden="1" localSheetId="0" name="_xlnm._FilterDatabase">'финишный протокол общий'!$A$1:$Z$93</definedName>
  </definedNames>
  <calcPr/>
</workbook>
</file>

<file path=xl/sharedStrings.xml><?xml version="1.0" encoding="utf-8"?>
<sst xmlns="http://schemas.openxmlformats.org/spreadsheetml/2006/main" count="271" uniqueCount="227">
  <si>
    <t>Номер команды</t>
  </si>
  <si>
    <t>Дистанция</t>
  </si>
  <si>
    <t>Название команды</t>
  </si>
  <si>
    <t>Первый (капитан). ФИО полностью</t>
  </si>
  <si>
    <t>Второй</t>
  </si>
  <si>
    <t>Третий</t>
  </si>
  <si>
    <t>Заявка</t>
  </si>
  <si>
    <t>старт</t>
  </si>
  <si>
    <t>финиш</t>
  </si>
  <si>
    <t>итого</t>
  </si>
  <si>
    <t>Caramba</t>
  </si>
  <si>
    <t>Гришин Дмитрий Викторович</t>
  </si>
  <si>
    <t>Мы пытались!</t>
  </si>
  <si>
    <t>Трохин Иван Евгеньевич</t>
  </si>
  <si>
    <t>Анастасия Карпова</t>
  </si>
  <si>
    <t>Илья (несоверш)</t>
  </si>
  <si>
    <t>Веселые мячики</t>
  </si>
  <si>
    <t>Смирнов Дмитрий Анатольевич</t>
  </si>
  <si>
    <t>Семенова Юлия Юрьевна</t>
  </si>
  <si>
    <t>Леший-Пеший</t>
  </si>
  <si>
    <t>Любин Виталий Яковлевич</t>
  </si>
  <si>
    <t>Рыбак Михаил Михайлович</t>
  </si>
  <si>
    <t>Хасько</t>
  </si>
  <si>
    <t>Золоторевская Александра Марковна</t>
  </si>
  <si>
    <t>Филатов Алексей</t>
  </si>
  <si>
    <t>Сперанская Дарья</t>
  </si>
  <si>
    <t>Промыслова Надежда</t>
  </si>
  <si>
    <t>На Вжухенвальден</t>
  </si>
  <si>
    <t>Гончаров Максим</t>
  </si>
  <si>
    <t>Ѣ</t>
  </si>
  <si>
    <t>Парамонов Александр</t>
  </si>
  <si>
    <t>Анна</t>
  </si>
  <si>
    <t>Петр</t>
  </si>
  <si>
    <t>Белка с Огурцами</t>
  </si>
  <si>
    <t>Рыбаков Георгий Валерьевич</t>
  </si>
  <si>
    <t>Кирюшина Татьяна</t>
  </si>
  <si>
    <t>Алёна Семанина</t>
  </si>
  <si>
    <t>Огурцы!</t>
  </si>
  <si>
    <t>Ситников Ян Михайлович</t>
  </si>
  <si>
    <t>Ситников Миша</t>
  </si>
  <si>
    <t>Ситникова Оля</t>
  </si>
  <si>
    <t>СемьМы</t>
  </si>
  <si>
    <t>Тамбовцев Алексей Сергеевич</t>
  </si>
  <si>
    <t>Тамбовцева Анна Алексеевна</t>
  </si>
  <si>
    <t>Привала.net</t>
  </si>
  <si>
    <t>Алексей Кирпиченко</t>
  </si>
  <si>
    <t>турклуб</t>
  </si>
  <si>
    <t>Наталья Головкина</t>
  </si>
  <si>
    <t>Денис Воров</t>
  </si>
  <si>
    <t>Гравицап</t>
  </si>
  <si>
    <t>Караев Михаил Шахинович</t>
  </si>
  <si>
    <t>Караева Ольга</t>
  </si>
  <si>
    <t>Караев Макар</t>
  </si>
  <si>
    <t>Пешком</t>
  </si>
  <si>
    <t>Миронович Дмитрий</t>
  </si>
  <si>
    <t>Миронович Елена</t>
  </si>
  <si>
    <t>ЯК2</t>
  </si>
  <si>
    <t>Лукьянцев Дмитрий Анатольевич</t>
  </si>
  <si>
    <t>День Сурка</t>
  </si>
  <si>
    <t>Деловая Софья</t>
  </si>
  <si>
    <t>Иван</t>
  </si>
  <si>
    <t>Таисия Новикова (несоверш)</t>
  </si>
  <si>
    <t>Бабай-Шагай</t>
  </si>
  <si>
    <t>Кузьмичев Дмитрий Олегович</t>
  </si>
  <si>
    <t>Кузьмичева Анна Владимировна</t>
  </si>
  <si>
    <t>Кивики</t>
  </si>
  <si>
    <t>Титова-Стетюкевич Юлия Александровна</t>
  </si>
  <si>
    <t>Сыроноги</t>
  </si>
  <si>
    <t>Марданов Георгий</t>
  </si>
  <si>
    <t>Марданов Тимофей</t>
  </si>
  <si>
    <t>Марданов Василий</t>
  </si>
  <si>
    <t>Ватуты</t>
  </si>
  <si>
    <t>Саяпин Павел Викторович</t>
  </si>
  <si>
    <t>Саяпина Александра Павловна</t>
  </si>
  <si>
    <t>Масленников Артём Романович</t>
  </si>
  <si>
    <t>Поляков Алексей</t>
  </si>
  <si>
    <t>Кузин Александр</t>
  </si>
  <si>
    <t>31-я весна</t>
  </si>
  <si>
    <t>Кузьмичев Олег Дмитриевич</t>
  </si>
  <si>
    <t>Переходя на бег (изредка)</t>
  </si>
  <si>
    <t>Малахов Илья Валерьевич</t>
  </si>
  <si>
    <t>Заиграев Сергей</t>
  </si>
  <si>
    <t>Борода</t>
  </si>
  <si>
    <t>Муравенков Денис Александрович</t>
  </si>
  <si>
    <t>ХодЛосем</t>
  </si>
  <si>
    <t>Салов Евгений Евгеньевич</t>
  </si>
  <si>
    <t>Салов Александр</t>
  </si>
  <si>
    <t>Екатерина Бэкер</t>
  </si>
  <si>
    <t>Артем</t>
  </si>
  <si>
    <t>Борзилов Артем Ильич</t>
  </si>
  <si>
    <t>Гражданская оборона</t>
  </si>
  <si>
    <t>Корешков Александр Михайлович</t>
  </si>
  <si>
    <t>Афонченко Евгений</t>
  </si>
  <si>
    <t>Сакулина Екатерина</t>
  </si>
  <si>
    <t>[oH] Grey</t>
  </si>
  <si>
    <t>Дьяконов Михаил</t>
  </si>
  <si>
    <t>Неспешно</t>
  </si>
  <si>
    <t>Пищаев Дмитрий Владимирович</t>
  </si>
  <si>
    <t>Кресик Андрей</t>
  </si>
  <si>
    <t>Сильные духом</t>
  </si>
  <si>
    <t>Попова Екатерина Сергеевна</t>
  </si>
  <si>
    <t>Бикмухаметов Альберт Хасанович</t>
  </si>
  <si>
    <t>Zlohobbit</t>
  </si>
  <si>
    <t>Левин Игорь</t>
  </si>
  <si>
    <t>Волгин Алексей</t>
  </si>
  <si>
    <t>Фуражка-Окими</t>
  </si>
  <si>
    <t>Ольга Котляр</t>
  </si>
  <si>
    <t>Евгений Котляр</t>
  </si>
  <si>
    <t>Антон Гриднев</t>
  </si>
  <si>
    <t>Квиддич</t>
  </si>
  <si>
    <t>Истомина Ксения Дмитриевна</t>
  </si>
  <si>
    <t>Эйдельман Александра Борисовна</t>
  </si>
  <si>
    <t>Владимир</t>
  </si>
  <si>
    <t>Гуськов Владимир</t>
  </si>
  <si>
    <t>Команда 47</t>
  </si>
  <si>
    <t>Глазунов Михаил Константинович</t>
  </si>
  <si>
    <t>Лилия</t>
  </si>
  <si>
    <t>Александр</t>
  </si>
  <si>
    <t>Офисный планктон</t>
  </si>
  <si>
    <t>Соколов Алексей Викторович</t>
  </si>
  <si>
    <t>Соколова Юлия Юрьевна</t>
  </si>
  <si>
    <t>Ежики в берлоге</t>
  </si>
  <si>
    <t>Веселов Ярослав Васильевич</t>
  </si>
  <si>
    <t>Веселова Екатерина Сергеевна</t>
  </si>
  <si>
    <t>Семейка</t>
  </si>
  <si>
    <t>Беляева Ольга</t>
  </si>
  <si>
    <t>Тупицын Александр</t>
  </si>
  <si>
    <t>Беляев Михаил</t>
  </si>
  <si>
    <t>Петрухин Максим Витальевич</t>
  </si>
  <si>
    <t>Орлова Наталья Витальевна</t>
  </si>
  <si>
    <t>Качуха</t>
  </si>
  <si>
    <t>Андреева Анна Николаевна</t>
  </si>
  <si>
    <t>Тюлень Ириша</t>
  </si>
  <si>
    <t>Хусаинова Ирина Исмагильяновна</t>
  </si>
  <si>
    <t>RM-1902</t>
  </si>
  <si>
    <t>Борис Димитров</t>
  </si>
  <si>
    <t>Безуминка</t>
  </si>
  <si>
    <t>Зверев Сергей</t>
  </si>
  <si>
    <t>Бурчак Алена</t>
  </si>
  <si>
    <t>Бобкова Екатерина</t>
  </si>
  <si>
    <t>Егор Задеба</t>
  </si>
  <si>
    <t>"Ос"</t>
  </si>
  <si>
    <t>Жученко Дмитрий Игоревич</t>
  </si>
  <si>
    <t>Трифонов Илья Олегович</t>
  </si>
  <si>
    <t>Диванные лоси</t>
  </si>
  <si>
    <t>Серговский Иван Александрович</t>
  </si>
  <si>
    <t>Федор Козлов</t>
  </si>
  <si>
    <t>Минчаков Роман</t>
  </si>
  <si>
    <t>Виталий Егоров</t>
  </si>
  <si>
    <t>Александр Еланчик</t>
  </si>
  <si>
    <t>Квики</t>
  </si>
  <si>
    <t>Муравьева Ладана Александровна</t>
  </si>
  <si>
    <t>Тефтели в микроволновке</t>
  </si>
  <si>
    <t>Гуськов Максим Владимирович</t>
  </si>
  <si>
    <t>Сипягин Иоанн</t>
  </si>
  <si>
    <t>Александр Коваленко</t>
  </si>
  <si>
    <t>Володин Антон Юрьевич</t>
  </si>
  <si>
    <t>[oh] Zdvig</t>
  </si>
  <si>
    <t>Моисеев Роман Александрович</t>
  </si>
  <si>
    <t>Передачу Пониже</t>
  </si>
  <si>
    <t>Гаврилова Евгения</t>
  </si>
  <si>
    <t>ватрУшка</t>
  </si>
  <si>
    <t>Назаров Николай Иванович</t>
  </si>
  <si>
    <t>Руденко Ольга Витальевна</t>
  </si>
  <si>
    <t>Самородов Михаил Юрьевич</t>
  </si>
  <si>
    <t>Тихоходы</t>
  </si>
  <si>
    <t>Данилов Руслан Владимирович</t>
  </si>
  <si>
    <t>Куликов Егор Юрьевич</t>
  </si>
  <si>
    <t>Иду один</t>
  </si>
  <si>
    <t>Храпов Артём Дмитриевич</t>
  </si>
  <si>
    <t>Маятниковые миграции</t>
  </si>
  <si>
    <t>Кирилл</t>
  </si>
  <si>
    <t>Светлана</t>
  </si>
  <si>
    <t>беридив@н</t>
  </si>
  <si>
    <t>Отрашкевич Алексей</t>
  </si>
  <si>
    <t>Камышев Евгений</t>
  </si>
  <si>
    <t>Камышева Анна</t>
  </si>
  <si>
    <t>Polkeda</t>
  </si>
  <si>
    <t>Строганов Александр Аркадьевич</t>
  </si>
  <si>
    <t>Иванов Андрей</t>
  </si>
  <si>
    <t>Маршал</t>
  </si>
  <si>
    <t>Андреев Максим Андревич</t>
  </si>
  <si>
    <t>Урюк</t>
  </si>
  <si>
    <t>Федорова Алла</t>
  </si>
  <si>
    <t>Ломильщики</t>
  </si>
  <si>
    <t>Шляков Евгений Викторович</t>
  </si>
  <si>
    <t>Юлия Вороненко</t>
  </si>
  <si>
    <t>Анна Голева</t>
  </si>
  <si>
    <t>Сергейчик Юрий Сергеевич</t>
  </si>
  <si>
    <t>Счастливой дороги!</t>
  </si>
  <si>
    <t>Скорик Анастасия Валерьевна</t>
  </si>
  <si>
    <t>Скорик Денис Викторович</t>
  </si>
  <si>
    <t>Павлушин Николай Олегович</t>
  </si>
  <si>
    <t>Хитрая выхухоль</t>
  </si>
  <si>
    <t>Маклакова Ирина Александровна</t>
  </si>
  <si>
    <t>Неутомимые ходоки</t>
  </si>
  <si>
    <t>Филенков Кирилл Андреевич</t>
  </si>
  <si>
    <t>Кривель Алексей Павлович</t>
  </si>
  <si>
    <t>Я и опять я</t>
  </si>
  <si>
    <t>Павловских Дмитрий Ремзиевич</t>
  </si>
  <si>
    <t>white</t>
  </si>
  <si>
    <t>Зимаков Андрей</t>
  </si>
  <si>
    <t>Атом</t>
  </si>
  <si>
    <t>Крылов Сергей</t>
  </si>
  <si>
    <t>Дарья</t>
  </si>
  <si>
    <t>Sunny</t>
  </si>
  <si>
    <t>Кузнецова Светлана</t>
  </si>
  <si>
    <t>сход после 65</t>
  </si>
  <si>
    <t>Брагин Андрей</t>
  </si>
  <si>
    <t>ТК ВШЭ</t>
  </si>
  <si>
    <t>Кудрявцев Никита Владимирович</t>
  </si>
  <si>
    <t>Пуф</t>
  </si>
  <si>
    <t>Балыков Дмитрий Сергеевич</t>
  </si>
  <si>
    <t>Степченко Алексей Васильевич</t>
  </si>
  <si>
    <t>Адский Бульдозер</t>
  </si>
  <si>
    <t>Браверман Елена Борисовна</t>
  </si>
  <si>
    <t>Лесной мопс</t>
  </si>
  <si>
    <t>Журбина Ирина Александровна</t>
  </si>
  <si>
    <t>Суслики подмосковья</t>
  </si>
  <si>
    <t>Савин Олег Олегович</t>
  </si>
  <si>
    <t>Некрасова Екатерина</t>
  </si>
  <si>
    <t>Некрасова Екатерина Сергееана</t>
  </si>
  <si>
    <t>Пирожков Артур</t>
  </si>
  <si>
    <t>Пересвет</t>
  </si>
  <si>
    <t>Дочкин Андрей Сергеевич</t>
  </si>
  <si>
    <t>От забора до заката</t>
  </si>
  <si>
    <t>Соколов Константин Викторович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</si>
</sst>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d.MM.yyyy"/>
  </numFmts>
  <fonts count="9">
    <font>
      <sz val="10.0"/>
      <color rgb="FF000000"/>
      <name val="Arial"/>
    </font>
    <font>
      <b/>
      <sz val="11.0"/>
      <color rgb="FF000000"/>
      <name val="Inconsolata"/>
    </font>
    <font>
      <b/>
      <color theme="1"/>
      <name val="Arial"/>
    </font>
    <font>
      <color theme="1"/>
      <name val="Arial"/>
    </font>
    <font>
      <color rgb="FF000000"/>
      <name val="Arial"/>
    </font>
    <font>
      <b/>
      <name val="Arial"/>
    </font>
    <font/>
    <font>
      <sz val="12.0"/>
      <color rgb="FFFF0000"/>
      <name val="Arial"/>
    </font>
    <font>
      <sz val="11.0"/>
      <color rgb="FF000000"/>
      <name val="Inconsolata"/>
    </font>
  </fonts>
  <fills count="8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00FF00"/>
        <bgColor rgb="FF00FF00"/>
      </patternFill>
    </fill>
    <fill>
      <patternFill patternType="solid">
        <fgColor rgb="FFFFFF00"/>
        <bgColor rgb="FFFFFF00"/>
      </patternFill>
    </fill>
    <fill>
      <patternFill patternType="solid">
        <fgColor rgb="FFFF9900"/>
        <bgColor rgb="FFFF9900"/>
      </patternFill>
    </fill>
    <fill>
      <patternFill patternType="solid">
        <fgColor rgb="FF00FFFF"/>
        <bgColor rgb="FF00FFFF"/>
      </patternFill>
    </fill>
    <fill>
      <patternFill patternType="solid">
        <fgColor rgb="FFFF0000"/>
        <bgColor rgb="FFFF0000"/>
      </patternFill>
    </fill>
  </fills>
  <borders count="7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41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/>
    </xf>
    <xf borderId="1" fillId="0" fontId="2" numFmtId="0" xfId="0" applyAlignment="1" applyBorder="1" applyFont="1">
      <alignment horizontal="center"/>
    </xf>
    <xf borderId="1" fillId="0" fontId="3" numFmtId="0" xfId="0" applyBorder="1" applyFont="1"/>
    <xf borderId="1" fillId="3" fontId="3" numFmtId="0" xfId="0" applyBorder="1" applyFill="1" applyFont="1"/>
    <xf borderId="1" fillId="0" fontId="3" numFmtId="20" xfId="0" applyBorder="1" applyFont="1" applyNumberFormat="1"/>
    <xf borderId="1" fillId="0" fontId="3" numFmtId="164" xfId="0" applyBorder="1" applyFont="1" applyNumberFormat="1"/>
    <xf borderId="1" fillId="4" fontId="3" numFmtId="0" xfId="0" applyBorder="1" applyFill="1" applyFont="1"/>
    <xf borderId="1" fillId="5" fontId="3" numFmtId="0" xfId="0" applyBorder="1" applyFill="1" applyFont="1"/>
    <xf borderId="1" fillId="0" fontId="3" numFmtId="21" xfId="0" applyBorder="1" applyFont="1" applyNumberFormat="1"/>
    <xf borderId="1" fillId="6" fontId="3" numFmtId="0" xfId="0" applyBorder="1" applyFill="1" applyFont="1"/>
    <xf borderId="1" fillId="7" fontId="3" numFmtId="0" xfId="0" applyBorder="1" applyFill="1" applyFont="1"/>
    <xf borderId="1" fillId="2" fontId="3" numFmtId="0" xfId="0" applyBorder="1" applyFont="1"/>
    <xf borderId="1" fillId="2" fontId="3" numFmtId="20" xfId="0" applyBorder="1" applyFont="1" applyNumberFormat="1"/>
    <xf borderId="1" fillId="2" fontId="3" numFmtId="164" xfId="0" applyBorder="1" applyFont="1" applyNumberFormat="1"/>
    <xf borderId="1" fillId="2" fontId="3" numFmtId="46" xfId="0" applyBorder="1" applyFont="1" applyNumberFormat="1"/>
    <xf borderId="0" fillId="0" fontId="3" numFmtId="0" xfId="0" applyFont="1"/>
    <xf borderId="1" fillId="2" fontId="1" numFmtId="0" xfId="0" applyAlignment="1" applyBorder="1" applyFont="1">
      <alignment horizontal="center" readingOrder="0" shrinkToFit="0" vertical="bottom" wrapText="0"/>
    </xf>
    <xf borderId="2" fillId="0" fontId="2" numFmtId="0" xfId="0" applyAlignment="1" applyBorder="1" applyFont="1">
      <alignment horizontal="center" readingOrder="0" shrinkToFit="0" vertical="bottom" wrapText="0"/>
    </xf>
    <xf borderId="2" fillId="0" fontId="4" numFmtId="0" xfId="0" applyAlignment="1" applyBorder="1" applyFont="1">
      <alignment readingOrder="0" shrinkToFit="0" vertical="bottom" wrapText="0"/>
    </xf>
    <xf borderId="3" fillId="0" fontId="4" numFmtId="0" xfId="0" applyAlignment="1" applyBorder="1" applyFont="1">
      <alignment horizontal="right" readingOrder="0" shrinkToFit="0" vertical="bottom" wrapText="0"/>
    </xf>
    <xf borderId="4" fillId="3" fontId="4" numFmtId="0" xfId="0" applyAlignment="1" applyBorder="1" applyFont="1">
      <alignment horizontal="right" readingOrder="0" shrinkToFit="0" vertical="bottom" wrapText="0"/>
    </xf>
    <xf borderId="4" fillId="0" fontId="4" numFmtId="0" xfId="0" applyAlignment="1" applyBorder="1" applyFont="1">
      <alignment readingOrder="0" shrinkToFit="0" vertical="bottom" wrapText="0"/>
    </xf>
    <xf borderId="4" fillId="0" fontId="4" numFmtId="0" xfId="0" applyAlignment="1" applyBorder="1" applyFont="1">
      <alignment shrinkToFit="0" vertical="bottom" wrapText="0"/>
    </xf>
    <xf borderId="4" fillId="0" fontId="4" numFmtId="21" xfId="0" applyAlignment="1" applyBorder="1" applyFont="1" applyNumberFormat="1">
      <alignment horizontal="right" readingOrder="0" shrinkToFit="0" vertical="bottom" wrapText="0"/>
    </xf>
    <xf borderId="4" fillId="4" fontId="4" numFmtId="0" xfId="0" applyAlignment="1" applyBorder="1" applyFont="1">
      <alignment horizontal="right" readingOrder="0" shrinkToFit="0" vertical="bottom" wrapText="0"/>
    </xf>
    <xf borderId="4" fillId="5" fontId="4" numFmtId="0" xfId="0" applyAlignment="1" applyBorder="1" applyFont="1">
      <alignment horizontal="right" readingOrder="0" shrinkToFit="0" vertical="bottom" wrapText="0"/>
    </xf>
    <xf borderId="2" fillId="0" fontId="5" numFmtId="0" xfId="0" applyAlignment="1" applyBorder="1" applyFont="1">
      <alignment horizontal="center" readingOrder="0" shrinkToFit="0" vertical="bottom" wrapText="0"/>
    </xf>
    <xf borderId="4" fillId="6" fontId="4" numFmtId="0" xfId="0" applyAlignment="1" applyBorder="1" applyFont="1">
      <alignment horizontal="right" readingOrder="0" shrinkToFit="0" vertical="bottom" wrapText="0"/>
    </xf>
    <xf borderId="4" fillId="0" fontId="4" numFmtId="0" xfId="0" applyAlignment="1" applyBorder="1" applyFont="1">
      <alignment shrinkToFit="0" vertical="bottom" wrapText="0"/>
    </xf>
    <xf borderId="4" fillId="2" fontId="4" numFmtId="0" xfId="0" applyAlignment="1" applyBorder="1" applyFont="1">
      <alignment readingOrder="0" shrinkToFit="0" vertical="bottom" wrapText="0"/>
    </xf>
    <xf borderId="4" fillId="2" fontId="4" numFmtId="0" xfId="0" applyAlignment="1" applyBorder="1" applyFont="1">
      <alignment shrinkToFit="0" vertical="bottom" wrapText="0"/>
    </xf>
    <xf borderId="3" fillId="2" fontId="4" numFmtId="0" xfId="0" applyAlignment="1" applyBorder="1" applyFont="1">
      <alignment horizontal="right" readingOrder="0" shrinkToFit="0" vertical="bottom" wrapText="0"/>
    </xf>
    <xf borderId="4" fillId="2" fontId="4" numFmtId="0" xfId="0" applyAlignment="1" applyBorder="1" applyFont="1">
      <alignment shrinkToFit="0" vertical="bottom" wrapText="0"/>
    </xf>
    <xf borderId="4" fillId="7" fontId="4" numFmtId="0" xfId="0" applyAlignment="1" applyBorder="1" applyFont="1">
      <alignment horizontal="right" readingOrder="0" shrinkToFit="0" vertical="bottom" wrapText="0"/>
    </xf>
    <xf borderId="0" fillId="0" fontId="6" numFmtId="0" xfId="0" applyAlignment="1" applyFont="1">
      <alignment readingOrder="0"/>
    </xf>
    <xf borderId="4" fillId="0" fontId="4" numFmtId="46" xfId="0" applyAlignment="1" applyBorder="1" applyFont="1" applyNumberFormat="1">
      <alignment horizontal="right" readingOrder="0" shrinkToFit="0" vertical="bottom" wrapText="0"/>
    </xf>
    <xf borderId="5" fillId="0" fontId="7" numFmtId="0" xfId="0" applyAlignment="1" applyBorder="1" applyFont="1">
      <alignment readingOrder="0"/>
    </xf>
    <xf borderId="6" fillId="0" fontId="6" numFmtId="0" xfId="0" applyBorder="1" applyFont="1"/>
    <xf borderId="2" fillId="0" fontId="6" numFmtId="0" xfId="0" applyBorder="1" applyFont="1"/>
    <xf borderId="1" fillId="2" fontId="8" numFmtId="0" xfId="0" applyAlignment="1" applyBorder="1" applyFont="1">
      <alignment horizontal="lef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0" Type="http://schemas.openxmlformats.org/officeDocument/2006/relationships/worksheet" Target="worksheets/sheet7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6.14"/>
    <col customWidth="1" min="3" max="3" width="22.57"/>
    <col customWidth="1" min="4" max="6" width="20.43"/>
    <col hidden="1" min="7" max="7" width="14.43"/>
    <col customWidth="1" min="13" max="13" width="26.0"/>
  </cols>
  <sheetData>
    <row r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7</v>
      </c>
      <c r="J1" s="2" t="s">
        <v>8</v>
      </c>
      <c r="K1" s="2" t="s">
        <v>8</v>
      </c>
      <c r="L1" s="2" t="s">
        <v>9</v>
      </c>
      <c r="M1" s="2"/>
    </row>
    <row r="2">
      <c r="A2" s="3">
        <f>IFERROR(__xludf.DUMMYFUNCTION("IMPORTRANGE(""https://docs.google.com/spreadsheets/d/1TKFBNsLkHZBeIYPV3Hoa5hIo8GebxIPiXOOFdD8Yduw/edit#gid=2124158990"",""регистрация!c2:o100"")"),67.0)</f>
        <v>67</v>
      </c>
      <c r="B2" s="4">
        <f>IFERROR(__xludf.DUMMYFUNCTION("""COMPUTED_VALUE"""),20.0)</f>
        <v>20</v>
      </c>
      <c r="C2" s="3" t="str">
        <f>IFERROR(__xludf.DUMMYFUNCTION("""COMPUTED_VALUE"""),"Caramba")</f>
        <v>Caramba</v>
      </c>
      <c r="D2" s="3" t="str">
        <f>IFERROR(__xludf.DUMMYFUNCTION("""COMPUTED_VALUE"""),"Гришин Дмитрий Викторович")</f>
        <v>Гришин Дмитрий Викторович</v>
      </c>
      <c r="E2" s="3"/>
      <c r="F2" s="3"/>
      <c r="G2" s="3" t="str">
        <f>IFERROR(__xludf.DUMMYFUNCTION("""COMPUTED_VALUE"""),"подтверждена ")</f>
        <v>подтверждена </v>
      </c>
      <c r="H2" s="5">
        <f>IFERROR(__xludf.DUMMYFUNCTION("""COMPUTED_VALUE"""),0.40625)</f>
        <v>0.40625</v>
      </c>
      <c r="I2" s="6">
        <f>IFERROR(__xludf.DUMMYFUNCTION("""COMPUTED_VALUE"""),44352.0)</f>
        <v>44352</v>
      </c>
      <c r="J2" s="5">
        <f>IFERROR(__xludf.DUMMYFUNCTION("""COMPUTED_VALUE"""),0.5583333333333333)</f>
        <v>0.5583333333</v>
      </c>
      <c r="K2" s="6">
        <f>IFERROR(__xludf.DUMMYFUNCTION("""COMPUTED_VALUE"""),44352.0)</f>
        <v>44352</v>
      </c>
      <c r="L2" s="5">
        <f>IFERROR(__xludf.DUMMYFUNCTION("""COMPUTED_VALUE"""),0.15208333333430346)</f>
        <v>0.1520833333</v>
      </c>
      <c r="M2" s="3"/>
    </row>
    <row r="3">
      <c r="A3" s="3">
        <f>IFERROR(__xludf.DUMMYFUNCTION("""COMPUTED_VALUE"""),77.0)</f>
        <v>77</v>
      </c>
      <c r="B3" s="4">
        <f>IFERROR(__xludf.DUMMYFUNCTION("""COMPUTED_VALUE"""),20.0)</f>
        <v>20</v>
      </c>
      <c r="C3" s="3" t="str">
        <f>IFERROR(__xludf.DUMMYFUNCTION("""COMPUTED_VALUE"""),"Мы пытались!")</f>
        <v>Мы пытались!</v>
      </c>
      <c r="D3" s="3" t="str">
        <f>IFERROR(__xludf.DUMMYFUNCTION("""COMPUTED_VALUE"""),"Трохин Иван Евгеньевич")</f>
        <v>Трохин Иван Евгеньевич</v>
      </c>
      <c r="E3" s="3" t="str">
        <f>IFERROR(__xludf.DUMMYFUNCTION("""COMPUTED_VALUE"""),"Анастасия Карпова ")</f>
        <v>Анастасия Карпова </v>
      </c>
      <c r="F3" s="3" t="str">
        <f>IFERROR(__xludf.DUMMYFUNCTION("""COMPUTED_VALUE"""),"Илья (несоверш)")</f>
        <v>Илья (несоверш)</v>
      </c>
      <c r="G3" s="3" t="str">
        <f>IFERROR(__xludf.DUMMYFUNCTION("""COMPUTED_VALUE"""),"подтверждена ")</f>
        <v>подтверждена </v>
      </c>
      <c r="H3" s="5">
        <f>IFERROR(__xludf.DUMMYFUNCTION("""COMPUTED_VALUE"""),0.3638888888888889)</f>
        <v>0.3638888889</v>
      </c>
      <c r="I3" s="6">
        <f>IFERROR(__xludf.DUMMYFUNCTION("""COMPUTED_VALUE"""),44352.0)</f>
        <v>44352</v>
      </c>
      <c r="J3" s="5">
        <f>IFERROR(__xludf.DUMMYFUNCTION("""COMPUTED_VALUE"""),0.53125)</f>
        <v>0.53125</v>
      </c>
      <c r="K3" s="6">
        <f>IFERROR(__xludf.DUMMYFUNCTION("""COMPUTED_VALUE"""),44352.0)</f>
        <v>44352</v>
      </c>
      <c r="L3" s="5">
        <f>IFERROR(__xludf.DUMMYFUNCTION("""COMPUTED_VALUE"""),0.16736111111111113)</f>
        <v>0.1673611111</v>
      </c>
      <c r="M3" s="3"/>
    </row>
    <row r="4">
      <c r="A4" s="3">
        <f>IFERROR(__xludf.DUMMYFUNCTION("""COMPUTED_VALUE"""),38.0)</f>
        <v>38</v>
      </c>
      <c r="B4" s="4">
        <f>IFERROR(__xludf.DUMMYFUNCTION("""COMPUTED_VALUE"""),20.0)</f>
        <v>20</v>
      </c>
      <c r="C4" s="3" t="str">
        <f>IFERROR(__xludf.DUMMYFUNCTION("""COMPUTED_VALUE"""),"Веселые мячики")</f>
        <v>Веселые мячики</v>
      </c>
      <c r="D4" s="3" t="str">
        <f>IFERROR(__xludf.DUMMYFUNCTION("""COMPUTED_VALUE"""),"Смирнов Дмитрий Анатольевич")</f>
        <v>Смирнов Дмитрий Анатольевич</v>
      </c>
      <c r="E4" s="3" t="str">
        <f>IFERROR(__xludf.DUMMYFUNCTION("""COMPUTED_VALUE"""),"Семенова Юлия Юрьевна")</f>
        <v>Семенова Юлия Юрьевна</v>
      </c>
      <c r="F4" s="3"/>
      <c r="G4" s="3" t="str">
        <f>IFERROR(__xludf.DUMMYFUNCTION("""COMPUTED_VALUE"""),"подтверждена ")</f>
        <v>подтверждена </v>
      </c>
      <c r="H4" s="5">
        <f>IFERROR(__xludf.DUMMYFUNCTION("""COMPUTED_VALUE"""),0.4340277777777778)</f>
        <v>0.4340277778</v>
      </c>
      <c r="I4" s="6">
        <f>IFERROR(__xludf.DUMMYFUNCTION("""COMPUTED_VALUE"""),44352.0)</f>
        <v>44352</v>
      </c>
      <c r="J4" s="5">
        <f>IFERROR(__xludf.DUMMYFUNCTION("""COMPUTED_VALUE"""),0.6111111111111112)</f>
        <v>0.6111111111</v>
      </c>
      <c r="K4" s="6">
        <f>IFERROR(__xludf.DUMMYFUNCTION("""COMPUTED_VALUE"""),44352.0)</f>
        <v>44352</v>
      </c>
      <c r="L4" s="5">
        <f>IFERROR(__xludf.DUMMYFUNCTION("""COMPUTED_VALUE"""),0.17708333333171644)</f>
        <v>0.1770833333</v>
      </c>
      <c r="M4" s="3"/>
    </row>
    <row r="5">
      <c r="A5" s="3">
        <f>IFERROR(__xludf.DUMMYFUNCTION("""COMPUTED_VALUE"""),47.0)</f>
        <v>47</v>
      </c>
      <c r="B5" s="4">
        <f>IFERROR(__xludf.DUMMYFUNCTION("""COMPUTED_VALUE"""),20.0)</f>
        <v>20</v>
      </c>
      <c r="C5" s="3" t="str">
        <f>IFERROR(__xludf.DUMMYFUNCTION("""COMPUTED_VALUE"""),"Леший-Пеший")</f>
        <v>Леший-Пеший</v>
      </c>
      <c r="D5" s="3" t="str">
        <f>IFERROR(__xludf.DUMMYFUNCTION("""COMPUTED_VALUE"""),"Любин Виталий Яковлевич")</f>
        <v>Любин Виталий Яковлевич</v>
      </c>
      <c r="E5" s="3" t="str">
        <f>IFERROR(__xludf.DUMMYFUNCTION("""COMPUTED_VALUE"""),"Рыбак Михаил Михайлович")</f>
        <v>Рыбак Михаил Михайлович</v>
      </c>
      <c r="F5" s="3"/>
      <c r="G5" s="3" t="str">
        <f>IFERROR(__xludf.DUMMYFUNCTION("""COMPUTED_VALUE"""),"подтверждена ")</f>
        <v>подтверждена </v>
      </c>
      <c r="H5" s="5">
        <f>IFERROR(__xludf.DUMMYFUNCTION("""COMPUTED_VALUE"""),0.3506944444444444)</f>
        <v>0.3506944444</v>
      </c>
      <c r="I5" s="6">
        <f>IFERROR(__xludf.DUMMYFUNCTION("""COMPUTED_VALUE"""),44352.0)</f>
        <v>44352</v>
      </c>
      <c r="J5" s="5">
        <f>IFERROR(__xludf.DUMMYFUNCTION("""COMPUTED_VALUE"""),0.5430555555555555)</f>
        <v>0.5430555556</v>
      </c>
      <c r="K5" s="6">
        <f>IFERROR(__xludf.DUMMYFUNCTION("""COMPUTED_VALUE"""),44352.0)</f>
        <v>44352</v>
      </c>
      <c r="L5" s="5">
        <f>IFERROR(__xludf.DUMMYFUNCTION("""COMPUTED_VALUE"""),0.19236111111321308)</f>
        <v>0.1923611111</v>
      </c>
      <c r="M5" s="3"/>
    </row>
    <row r="6">
      <c r="A6" s="3">
        <f>IFERROR(__xludf.DUMMYFUNCTION("""COMPUTED_VALUE"""),21.0)</f>
        <v>21</v>
      </c>
      <c r="B6" s="7">
        <f>IFERROR(__xludf.DUMMYFUNCTION("""COMPUTED_VALUE"""),35.0)</f>
        <v>35</v>
      </c>
      <c r="C6" s="3" t="str">
        <f>IFERROR(__xludf.DUMMYFUNCTION("""COMPUTED_VALUE"""),"31-я весна")</f>
        <v>31-я весна</v>
      </c>
      <c r="D6" s="3" t="str">
        <f>IFERROR(__xludf.DUMMYFUNCTION("""COMPUTED_VALUE"""),"Кузьмичев Олег Дмитриевич")</f>
        <v>Кузьмичев Олег Дмитриевич</v>
      </c>
      <c r="E6" s="3"/>
      <c r="F6" s="3"/>
      <c r="G6" s="3" t="str">
        <f>IFERROR(__xludf.DUMMYFUNCTION("""COMPUTED_VALUE"""),"подтверждена ")</f>
        <v>подтверждена </v>
      </c>
      <c r="H6" s="5">
        <f>IFERROR(__xludf.DUMMYFUNCTION("""COMPUTED_VALUE"""),0.25)</f>
        <v>0.25</v>
      </c>
      <c r="I6" s="6">
        <f>IFERROR(__xludf.DUMMYFUNCTION("""COMPUTED_VALUE"""),44353.0)</f>
        <v>44353</v>
      </c>
      <c r="J6" s="5">
        <f>IFERROR(__xludf.DUMMYFUNCTION("""COMPUTED_VALUE"""),0.4527777777777778)</f>
        <v>0.4527777778</v>
      </c>
      <c r="K6" s="6">
        <f>IFERROR(__xludf.DUMMYFUNCTION("""COMPUTED_VALUE"""),44353.0)</f>
        <v>44353</v>
      </c>
      <c r="L6" s="5">
        <f>IFERROR(__xludf.DUMMYFUNCTION("""COMPUTED_VALUE"""),0.20277777777664596)</f>
        <v>0.2027777778</v>
      </c>
      <c r="M6" s="3"/>
    </row>
    <row r="7">
      <c r="A7" s="3">
        <f>IFERROR(__xludf.DUMMYFUNCTION("""COMPUTED_VALUE"""),40.0)</f>
        <v>40</v>
      </c>
      <c r="B7" s="4">
        <f>IFERROR(__xludf.DUMMYFUNCTION("""COMPUTED_VALUE"""),20.0)</f>
        <v>20</v>
      </c>
      <c r="C7" s="3" t="str">
        <f>IFERROR(__xludf.DUMMYFUNCTION("""COMPUTED_VALUE"""),"Хасько")</f>
        <v>Хасько</v>
      </c>
      <c r="D7" s="3" t="str">
        <f>IFERROR(__xludf.DUMMYFUNCTION("""COMPUTED_VALUE"""),"Золоторевская Александра Марковна ")</f>
        <v>Золоторевская Александра Марковна </v>
      </c>
      <c r="E7" s="3" t="str">
        <f>IFERROR(__xludf.DUMMYFUNCTION("""COMPUTED_VALUE"""),"Филатов Алексей")</f>
        <v>Филатов Алексей</v>
      </c>
      <c r="F7" s="3" t="str">
        <f>IFERROR(__xludf.DUMMYFUNCTION("""COMPUTED_VALUE"""),"Сперанская Дарья")</f>
        <v>Сперанская Дарья</v>
      </c>
      <c r="G7" s="3" t="str">
        <f>IFERROR(__xludf.DUMMYFUNCTION("""COMPUTED_VALUE"""),"подтверждена")</f>
        <v>подтверждена</v>
      </c>
      <c r="H7" s="5">
        <f>IFERROR(__xludf.DUMMYFUNCTION("""COMPUTED_VALUE"""),0.4409722222222222)</f>
        <v>0.4409722222</v>
      </c>
      <c r="I7" s="6">
        <f>IFERROR(__xludf.DUMMYFUNCTION("""COMPUTED_VALUE"""),44352.0)</f>
        <v>44352</v>
      </c>
      <c r="J7" s="5">
        <f>IFERROR(__xludf.DUMMYFUNCTION("""COMPUTED_VALUE"""),0.6645833333333333)</f>
        <v>0.6645833333</v>
      </c>
      <c r="K7" s="6">
        <f>IFERROR(__xludf.DUMMYFUNCTION("""COMPUTED_VALUE"""),44352.0)</f>
        <v>44352</v>
      </c>
      <c r="L7" s="5">
        <f>IFERROR(__xludf.DUMMYFUNCTION("""COMPUTED_VALUE"""),0.22361111110917087)</f>
        <v>0.2236111111</v>
      </c>
      <c r="M7" s="3"/>
    </row>
    <row r="8">
      <c r="A8" s="3">
        <f>IFERROR(__xludf.DUMMYFUNCTION("""COMPUTED_VALUE"""),49.0)</f>
        <v>49</v>
      </c>
      <c r="B8" s="4">
        <f>IFERROR(__xludf.DUMMYFUNCTION("""COMPUTED_VALUE"""),20.0)</f>
        <v>20</v>
      </c>
      <c r="C8" s="3"/>
      <c r="D8" s="3" t="str">
        <f>IFERROR(__xludf.DUMMYFUNCTION("""COMPUTED_VALUE"""),"Промыслова Надежда")</f>
        <v>Промыслова Надежда</v>
      </c>
      <c r="E8" s="3"/>
      <c r="F8" s="3"/>
      <c r="G8" s="3" t="str">
        <f>IFERROR(__xludf.DUMMYFUNCTION("""COMPUTED_VALUE"""),"подтверждена ")</f>
        <v>подтверждена </v>
      </c>
      <c r="H8" s="5">
        <f>IFERROR(__xludf.DUMMYFUNCTION("""COMPUTED_VALUE"""),0.35625)</f>
        <v>0.35625</v>
      </c>
      <c r="I8" s="6">
        <f>IFERROR(__xludf.DUMMYFUNCTION("""COMPUTED_VALUE"""),44352.0)</f>
        <v>44352</v>
      </c>
      <c r="J8" s="5">
        <f>IFERROR(__xludf.DUMMYFUNCTION("""COMPUTED_VALUE"""),0.5840277777777778)</f>
        <v>0.5840277778</v>
      </c>
      <c r="K8" s="6">
        <f>IFERROR(__xludf.DUMMYFUNCTION("""COMPUTED_VALUE"""),44352.0)</f>
        <v>44352</v>
      </c>
      <c r="L8" s="5">
        <f>IFERROR(__xludf.DUMMYFUNCTION("""COMPUTED_VALUE"""),0.22777777777519076)</f>
        <v>0.2277777778</v>
      </c>
      <c r="M8" s="3"/>
    </row>
    <row r="9">
      <c r="A9" s="3">
        <f>IFERROR(__xludf.DUMMYFUNCTION("""COMPUTED_VALUE"""),50.0)</f>
        <v>50</v>
      </c>
      <c r="B9" s="4">
        <f>IFERROR(__xludf.DUMMYFUNCTION("""COMPUTED_VALUE"""),20.0)</f>
        <v>20</v>
      </c>
      <c r="C9" s="3" t="str">
        <f>IFERROR(__xludf.DUMMYFUNCTION("""COMPUTED_VALUE"""),"На Вжухенвальден")</f>
        <v>На Вжухенвальден</v>
      </c>
      <c r="D9" s="3" t="str">
        <f>IFERROR(__xludf.DUMMYFUNCTION("""COMPUTED_VALUE"""),"Гончаров Максим")</f>
        <v>Гончаров Максим</v>
      </c>
      <c r="E9" s="3"/>
      <c r="F9" s="3"/>
      <c r="G9" s="3" t="str">
        <f>IFERROR(__xludf.DUMMYFUNCTION("""COMPUTED_VALUE"""),"подтверждена ")</f>
        <v>подтверждена </v>
      </c>
      <c r="H9" s="5">
        <f>IFERROR(__xludf.DUMMYFUNCTION("""COMPUTED_VALUE"""),0.35625)</f>
        <v>0.35625</v>
      </c>
      <c r="I9" s="6">
        <f>IFERROR(__xludf.DUMMYFUNCTION("""COMPUTED_VALUE"""),44352.0)</f>
        <v>44352</v>
      </c>
      <c r="J9" s="5">
        <f>IFERROR(__xludf.DUMMYFUNCTION("""COMPUTED_VALUE"""),0.5840277777777778)</f>
        <v>0.5840277778</v>
      </c>
      <c r="K9" s="6">
        <f>IFERROR(__xludf.DUMMYFUNCTION("""COMPUTED_VALUE"""),44352.0)</f>
        <v>44352</v>
      </c>
      <c r="L9" s="5">
        <f>IFERROR(__xludf.DUMMYFUNCTION("""COMPUTED_VALUE"""),0.22777777777519076)</f>
        <v>0.2277777778</v>
      </c>
      <c r="M9" s="3"/>
    </row>
    <row r="10">
      <c r="A10" s="3">
        <f>IFERROR(__xludf.DUMMYFUNCTION("""COMPUTED_VALUE"""),76.0)</f>
        <v>76</v>
      </c>
      <c r="B10" s="4">
        <f>IFERROR(__xludf.DUMMYFUNCTION("""COMPUTED_VALUE"""),20.0)</f>
        <v>20</v>
      </c>
      <c r="C10" s="3" t="str">
        <f>IFERROR(__xludf.DUMMYFUNCTION("""COMPUTED_VALUE"""),"Ѣ")</f>
        <v>Ѣ</v>
      </c>
      <c r="D10" s="3" t="str">
        <f>IFERROR(__xludf.DUMMYFUNCTION("""COMPUTED_VALUE"""),"Парамонов Александр")</f>
        <v>Парамонов Александр</v>
      </c>
      <c r="E10" s="3" t="str">
        <f>IFERROR(__xludf.DUMMYFUNCTION("""COMPUTED_VALUE"""),"Анна")</f>
        <v>Анна</v>
      </c>
      <c r="F10" s="3" t="str">
        <f>IFERROR(__xludf.DUMMYFUNCTION("""COMPUTED_VALUE"""),"Петр")</f>
        <v>Петр</v>
      </c>
      <c r="G10" s="3" t="str">
        <f>IFERROR(__xludf.DUMMYFUNCTION("""COMPUTED_VALUE"""),"подтверждена ")</f>
        <v>подтверждена </v>
      </c>
      <c r="H10" s="5">
        <f>IFERROR(__xludf.DUMMYFUNCTION("""COMPUTED_VALUE"""),0.4701388888888889)</f>
        <v>0.4701388889</v>
      </c>
      <c r="I10" s="6">
        <f>IFERROR(__xludf.DUMMYFUNCTION("""COMPUTED_VALUE"""),44352.0)</f>
        <v>44352</v>
      </c>
      <c r="J10" s="5">
        <f>IFERROR(__xludf.DUMMYFUNCTION("""COMPUTED_VALUE"""),0.7076388888888889)</f>
        <v>0.7076388889</v>
      </c>
      <c r="K10" s="6">
        <f>IFERROR(__xludf.DUMMYFUNCTION("""COMPUTED_VALUE"""),44352.0)</f>
        <v>44352</v>
      </c>
      <c r="L10" s="5">
        <f>IFERROR(__xludf.DUMMYFUNCTION("""COMPUTED_VALUE"""),0.2375000000001617)</f>
        <v>0.2375</v>
      </c>
      <c r="M10" s="3"/>
    </row>
    <row r="11">
      <c r="A11" s="3">
        <f>IFERROR(__xludf.DUMMYFUNCTION("""COMPUTED_VALUE"""),66.0)</f>
        <v>66</v>
      </c>
      <c r="B11" s="7">
        <f>IFERROR(__xludf.DUMMYFUNCTION("""COMPUTED_VALUE"""),35.0)</f>
        <v>35</v>
      </c>
      <c r="C11" s="3" t="str">
        <f>IFERROR(__xludf.DUMMYFUNCTION("""COMPUTED_VALUE"""),"Переходя на бег (изредка)")</f>
        <v>Переходя на бег (изредка)</v>
      </c>
      <c r="D11" s="3" t="str">
        <f>IFERROR(__xludf.DUMMYFUNCTION("""COMPUTED_VALUE"""),"Малахов Илья Валерьевич")</f>
        <v>Малахов Илья Валерьевич</v>
      </c>
      <c r="E11" s="3" t="str">
        <f>IFERROR(__xludf.DUMMYFUNCTION("""COMPUTED_VALUE"""),"Заиграев Сергей")</f>
        <v>Заиграев Сергей</v>
      </c>
      <c r="F11" s="3"/>
      <c r="G11" s="3" t="str">
        <f>IFERROR(__xludf.DUMMYFUNCTION("""COMPUTED_VALUE"""),"подтверждена ")</f>
        <v>подтверждена </v>
      </c>
      <c r="H11" s="5">
        <f>IFERROR(__xludf.DUMMYFUNCTION("""COMPUTED_VALUE"""),0.5833333333333334)</f>
        <v>0.5833333333</v>
      </c>
      <c r="I11" s="6">
        <f>IFERROR(__xludf.DUMMYFUNCTION("""COMPUTED_VALUE"""),44352.0)</f>
        <v>44352</v>
      </c>
      <c r="J11" s="5">
        <f>IFERROR(__xludf.DUMMYFUNCTION("""COMPUTED_VALUE"""),0.8375)</f>
        <v>0.8375</v>
      </c>
      <c r="K11" s="6">
        <f>IFERROR(__xludf.DUMMYFUNCTION("""COMPUTED_VALUE"""),44352.0)</f>
        <v>44352</v>
      </c>
      <c r="L11" s="5">
        <f>IFERROR(__xludf.DUMMYFUNCTION("""COMPUTED_VALUE"""),0.2541666666681218)</f>
        <v>0.2541666667</v>
      </c>
      <c r="M11" s="3"/>
    </row>
    <row r="12">
      <c r="A12" s="3">
        <f>IFERROR(__xludf.DUMMYFUNCTION("""COMPUTED_VALUE"""),45.0)</f>
        <v>45</v>
      </c>
      <c r="B12" s="7">
        <f>IFERROR(__xludf.DUMMYFUNCTION("""COMPUTED_VALUE"""),35.0)</f>
        <v>35</v>
      </c>
      <c r="C12" s="3" t="str">
        <f>IFERROR(__xludf.DUMMYFUNCTION("""COMPUTED_VALUE"""),"Борода")</f>
        <v>Борода</v>
      </c>
      <c r="D12" s="3" t="str">
        <f>IFERROR(__xludf.DUMMYFUNCTION("""COMPUTED_VALUE"""),"Муравенков Денис Александрович")</f>
        <v>Муравенков Денис Александрович</v>
      </c>
      <c r="E12" s="3"/>
      <c r="F12" s="3"/>
      <c r="G12" s="3" t="str">
        <f>IFERROR(__xludf.DUMMYFUNCTION("""COMPUTED_VALUE"""),"подтверждена ")</f>
        <v>подтверждена </v>
      </c>
      <c r="H12" s="5">
        <f>IFERROR(__xludf.DUMMYFUNCTION("""COMPUTED_VALUE"""),0.32013888888888886)</f>
        <v>0.3201388889</v>
      </c>
      <c r="I12" s="6">
        <f>IFERROR(__xludf.DUMMYFUNCTION("""COMPUTED_VALUE"""),44352.0)</f>
        <v>44352</v>
      </c>
      <c r="J12" s="5">
        <f>IFERROR(__xludf.DUMMYFUNCTION("""COMPUTED_VALUE"""),0.5770833333333333)</f>
        <v>0.5770833333</v>
      </c>
      <c r="K12" s="6">
        <f>IFERROR(__xludf.DUMMYFUNCTION("""COMPUTED_VALUE"""),44352.0)</f>
        <v>44352</v>
      </c>
      <c r="L12" s="5">
        <f>IFERROR(__xludf.DUMMYFUNCTION("""COMPUTED_VALUE"""),0.256944444441049)</f>
        <v>0.2569444444</v>
      </c>
      <c r="M12" s="3"/>
    </row>
    <row r="13">
      <c r="A13" s="3">
        <f>IFERROR(__xludf.DUMMYFUNCTION("""COMPUTED_VALUE"""),27.0)</f>
        <v>27</v>
      </c>
      <c r="B13" s="4">
        <f>IFERROR(__xludf.DUMMYFUNCTION("""COMPUTED_VALUE"""),20.0)</f>
        <v>20</v>
      </c>
      <c r="C13" s="3" t="str">
        <f>IFERROR(__xludf.DUMMYFUNCTION("""COMPUTED_VALUE"""),"Белка с Огурцами")</f>
        <v>Белка с Огурцами</v>
      </c>
      <c r="D13" s="3" t="str">
        <f>IFERROR(__xludf.DUMMYFUNCTION("""COMPUTED_VALUE"""),"Рыбаков Георгий Валерьевич")</f>
        <v>Рыбаков Георгий Валерьевич</v>
      </c>
      <c r="E13" s="3" t="str">
        <f>IFERROR(__xludf.DUMMYFUNCTION("""COMPUTED_VALUE"""),"Кирюшина Татьяна")</f>
        <v>Кирюшина Татьяна</v>
      </c>
      <c r="F13" s="3" t="str">
        <f>IFERROR(__xludf.DUMMYFUNCTION("""COMPUTED_VALUE"""),"Алёна Семанина")</f>
        <v>Алёна Семанина</v>
      </c>
      <c r="G13" s="3"/>
      <c r="H13" s="5">
        <f>IFERROR(__xludf.DUMMYFUNCTION("""COMPUTED_VALUE"""),0.4666666666666667)</f>
        <v>0.4666666667</v>
      </c>
      <c r="I13" s="6">
        <f>IFERROR(__xludf.DUMMYFUNCTION("""COMPUTED_VALUE"""),44352.0)</f>
        <v>44352</v>
      </c>
      <c r="J13" s="5">
        <f>IFERROR(__xludf.DUMMYFUNCTION("""COMPUTED_VALUE"""),0.725)</f>
        <v>0.725</v>
      </c>
      <c r="K13" s="6">
        <f>IFERROR(__xludf.DUMMYFUNCTION("""COMPUTED_VALUE"""),44352.0)</f>
        <v>44352</v>
      </c>
      <c r="L13" s="5">
        <f>IFERROR(__xludf.DUMMYFUNCTION("""COMPUTED_VALUE"""),0.25833333333187813)</f>
        <v>0.2583333333</v>
      </c>
      <c r="M13" s="3"/>
    </row>
    <row r="14">
      <c r="A14" s="3">
        <f>IFERROR(__xludf.DUMMYFUNCTION("""COMPUTED_VALUE"""),61.0)</f>
        <v>61</v>
      </c>
      <c r="B14" s="4">
        <f>IFERROR(__xludf.DUMMYFUNCTION("""COMPUTED_VALUE"""),20.0)</f>
        <v>20</v>
      </c>
      <c r="C14" s="3" t="str">
        <f>IFERROR(__xludf.DUMMYFUNCTION("""COMPUTED_VALUE"""),"Огурцы!")</f>
        <v>Огурцы!</v>
      </c>
      <c r="D14" s="3" t="str">
        <f>IFERROR(__xludf.DUMMYFUNCTION("""COMPUTED_VALUE"""),"Ситников Ян Михайлович")</f>
        <v>Ситников Ян Михайлович</v>
      </c>
      <c r="E14" s="3" t="str">
        <f>IFERROR(__xludf.DUMMYFUNCTION("""COMPUTED_VALUE"""),"Ситников Миша")</f>
        <v>Ситников Миша</v>
      </c>
      <c r="F14" s="3" t="str">
        <f>IFERROR(__xludf.DUMMYFUNCTION("""COMPUTED_VALUE"""),"Ситникова Оля")</f>
        <v>Ситникова Оля</v>
      </c>
      <c r="G14" s="3" t="str">
        <f>IFERROR(__xludf.DUMMYFUNCTION("""COMPUTED_VALUE"""),"подтверждена ")</f>
        <v>подтверждена </v>
      </c>
      <c r="H14" s="5">
        <f>IFERROR(__xludf.DUMMYFUNCTION("""COMPUTED_VALUE"""),0.4166666666666667)</f>
        <v>0.4166666667</v>
      </c>
      <c r="I14" s="6">
        <f>IFERROR(__xludf.DUMMYFUNCTION("""COMPUTED_VALUE"""),44353.0)</f>
        <v>44353</v>
      </c>
      <c r="J14" s="5">
        <f>IFERROR(__xludf.DUMMYFUNCTION("""COMPUTED_VALUE"""),0.6756944444444445)</f>
        <v>0.6756944444</v>
      </c>
      <c r="K14" s="6">
        <f>IFERROR(__xludf.DUMMYFUNCTION("""COMPUTED_VALUE"""),44353.0)</f>
        <v>44353</v>
      </c>
      <c r="L14" s="5">
        <f>IFERROR(__xludf.DUMMYFUNCTION("""COMPUTED_VALUE"""),0.2590277777756758)</f>
        <v>0.2590277778</v>
      </c>
      <c r="M14" s="3"/>
    </row>
    <row r="15">
      <c r="A15" s="3">
        <f>IFERROR(__xludf.DUMMYFUNCTION("""COMPUTED_VALUE"""),25.0)</f>
        <v>25</v>
      </c>
      <c r="B15" s="4">
        <f>IFERROR(__xludf.DUMMYFUNCTION("""COMPUTED_VALUE"""),20.0)</f>
        <v>20</v>
      </c>
      <c r="C15" s="3" t="str">
        <f>IFERROR(__xludf.DUMMYFUNCTION("""COMPUTED_VALUE"""),"СемьМы")</f>
        <v>СемьМы</v>
      </c>
      <c r="D15" s="3" t="str">
        <f>IFERROR(__xludf.DUMMYFUNCTION("""COMPUTED_VALUE"""),"Тамбовцев Алексей Сергеевич")</f>
        <v>Тамбовцев Алексей Сергеевич</v>
      </c>
      <c r="E15" s="3" t="str">
        <f>IFERROR(__xludf.DUMMYFUNCTION("""COMPUTED_VALUE"""),"Тамбовцева Анна Алексеевна")</f>
        <v>Тамбовцева Анна Алексеевна</v>
      </c>
      <c r="F15" s="3"/>
      <c r="G15" s="3" t="str">
        <f>IFERROR(__xludf.DUMMYFUNCTION("""COMPUTED_VALUE"""),"подтверждена ")</f>
        <v>подтверждена </v>
      </c>
      <c r="H15" s="5">
        <f>IFERROR(__xludf.DUMMYFUNCTION("""COMPUTED_VALUE"""),0.4638888888888889)</f>
        <v>0.4638888889</v>
      </c>
      <c r="I15" s="6">
        <f>IFERROR(__xludf.DUMMYFUNCTION("""COMPUTED_VALUE"""),44352.0)</f>
        <v>44352</v>
      </c>
      <c r="J15" s="5">
        <f>IFERROR(__xludf.DUMMYFUNCTION("""COMPUTED_VALUE"""),0.725)</f>
        <v>0.725</v>
      </c>
      <c r="K15" s="6">
        <f>IFERROR(__xludf.DUMMYFUNCTION("""COMPUTED_VALUE"""),44352.0)</f>
        <v>44352</v>
      </c>
      <c r="L15" s="5">
        <f>IFERROR(__xludf.DUMMYFUNCTION("""COMPUTED_VALUE"""),0.2611111111096559)</f>
        <v>0.2611111111</v>
      </c>
      <c r="M15" s="3"/>
    </row>
    <row r="16">
      <c r="A16" s="3">
        <f>IFERROR(__xludf.DUMMYFUNCTION("""COMPUTED_VALUE"""),71.0)</f>
        <v>71</v>
      </c>
      <c r="B16" s="4">
        <f>IFERROR(__xludf.DUMMYFUNCTION("""COMPUTED_VALUE"""),20.0)</f>
        <v>20</v>
      </c>
      <c r="C16" s="3" t="str">
        <f>IFERROR(__xludf.DUMMYFUNCTION("""COMPUTED_VALUE"""),"Привала.net")</f>
        <v>Привала.net</v>
      </c>
      <c r="D16" s="3" t="str">
        <f>IFERROR(__xludf.DUMMYFUNCTION("""COMPUTED_VALUE"""),"Алексей Кирпиченко")</f>
        <v>Алексей Кирпиченко</v>
      </c>
      <c r="E16" s="3" t="str">
        <f>IFERROR(__xludf.DUMMYFUNCTION("""COMPUTED_VALUE"""),"турклуб")</f>
        <v>турклуб</v>
      </c>
      <c r="F16" s="3"/>
      <c r="G16" s="3" t="str">
        <f>IFERROR(__xludf.DUMMYFUNCTION("""COMPUTED_VALUE"""),"подтверждена ")</f>
        <v>подтверждена </v>
      </c>
      <c r="H16" s="5">
        <f>IFERROR(__xludf.DUMMYFUNCTION("""COMPUTED_VALUE"""),0.4166666666666667)</f>
        <v>0.4166666667</v>
      </c>
      <c r="I16" s="6">
        <f>IFERROR(__xludf.DUMMYFUNCTION("""COMPUTED_VALUE"""),44352.0)</f>
        <v>44352</v>
      </c>
      <c r="J16" s="5">
        <f>IFERROR(__xludf.DUMMYFUNCTION("""COMPUTED_VALUE"""),0.6819444444444445)</f>
        <v>0.6819444444</v>
      </c>
      <c r="K16" s="6">
        <f>IFERROR(__xludf.DUMMYFUNCTION("""COMPUTED_VALUE"""),44352.0)</f>
        <v>44352</v>
      </c>
      <c r="L16" s="5">
        <f>IFERROR(__xludf.DUMMYFUNCTION("""COMPUTED_VALUE"""),0.2652777777742206)</f>
        <v>0.2652777778</v>
      </c>
      <c r="M16" s="3"/>
    </row>
    <row r="17">
      <c r="A17" s="3">
        <f>IFERROR(__xludf.DUMMYFUNCTION("""COMPUTED_VALUE"""),95.0)</f>
        <v>95</v>
      </c>
      <c r="B17" s="4">
        <f>IFERROR(__xludf.DUMMYFUNCTION("""COMPUTED_VALUE"""),20.0)</f>
        <v>20</v>
      </c>
      <c r="C17" s="3"/>
      <c r="D17" s="3" t="str">
        <f>IFERROR(__xludf.DUMMYFUNCTION("""COMPUTED_VALUE"""),"Наталья Головкина")</f>
        <v>Наталья Головкина</v>
      </c>
      <c r="E17" s="3" t="str">
        <f>IFERROR(__xludf.DUMMYFUNCTION("""COMPUTED_VALUE"""),"Денис Воров")</f>
        <v>Денис Воров</v>
      </c>
      <c r="F17" s="3"/>
      <c r="G17" s="3"/>
      <c r="H17" s="5">
        <f>IFERROR(__xludf.DUMMYFUNCTION("""COMPUTED_VALUE"""),0.5465277777777777)</f>
        <v>0.5465277778</v>
      </c>
      <c r="I17" s="6">
        <f>IFERROR(__xludf.DUMMYFUNCTION("""COMPUTED_VALUE"""),44352.0)</f>
        <v>44352</v>
      </c>
      <c r="J17" s="5">
        <f>IFERROR(__xludf.DUMMYFUNCTION("""COMPUTED_VALUE"""),0.8159722222222222)</f>
        <v>0.8159722222</v>
      </c>
      <c r="K17" s="6">
        <f>IFERROR(__xludf.DUMMYFUNCTION("""COMPUTED_VALUE"""),44352.0)</f>
        <v>44352</v>
      </c>
      <c r="L17" s="5">
        <f>IFERROR(__xludf.DUMMYFUNCTION("""COMPUTED_VALUE"""),0.26944444444121074)</f>
        <v>0.2694444444</v>
      </c>
      <c r="M17" s="3"/>
    </row>
    <row r="18">
      <c r="A18" s="3">
        <f>IFERROR(__xludf.DUMMYFUNCTION("""COMPUTED_VALUE"""),82.0)</f>
        <v>82</v>
      </c>
      <c r="B18" s="4">
        <f>IFERROR(__xludf.DUMMYFUNCTION("""COMPUTED_VALUE"""),20.0)</f>
        <v>20</v>
      </c>
      <c r="C18" s="3" t="str">
        <f>IFERROR(__xludf.DUMMYFUNCTION("""COMPUTED_VALUE"""),"Гравицап")</f>
        <v>Гравицап</v>
      </c>
      <c r="D18" s="3" t="str">
        <f>IFERROR(__xludf.DUMMYFUNCTION("""COMPUTED_VALUE"""),"Караев Михаил Шахинович")</f>
        <v>Караев Михаил Шахинович</v>
      </c>
      <c r="E18" s="3" t="str">
        <f>IFERROR(__xludf.DUMMYFUNCTION("""COMPUTED_VALUE"""),"Караева Ольга")</f>
        <v>Караева Ольга</v>
      </c>
      <c r="F18" s="3" t="str">
        <f>IFERROR(__xludf.DUMMYFUNCTION("""COMPUTED_VALUE"""),"Караев Макар")</f>
        <v>Караев Макар</v>
      </c>
      <c r="G18" s="3"/>
      <c r="H18" s="5">
        <f>IFERROR(__xludf.DUMMYFUNCTION("""COMPUTED_VALUE"""),0.4222222222222222)</f>
        <v>0.4222222222</v>
      </c>
      <c r="I18" s="6">
        <f>IFERROR(__xludf.DUMMYFUNCTION("""COMPUTED_VALUE"""),44352.0)</f>
        <v>44352</v>
      </c>
      <c r="J18" s="5">
        <f>IFERROR(__xludf.DUMMYFUNCTION("""COMPUTED_VALUE"""),0.6930555555555555)</f>
        <v>0.6930555556</v>
      </c>
      <c r="K18" s="6">
        <f>IFERROR(__xludf.DUMMYFUNCTION("""COMPUTED_VALUE"""),44352.0)</f>
        <v>44352</v>
      </c>
      <c r="L18" s="5">
        <f>IFERROR(__xludf.DUMMYFUNCTION("""COMPUTED_VALUE"""),0.27083333333689047)</f>
        <v>0.2708333333</v>
      </c>
      <c r="M18" s="3"/>
    </row>
    <row r="19">
      <c r="A19" s="3">
        <f>IFERROR(__xludf.DUMMYFUNCTION("""COMPUTED_VALUE"""),24.0)</f>
        <v>24</v>
      </c>
      <c r="B19" s="7">
        <f>IFERROR(__xludf.DUMMYFUNCTION("""COMPUTED_VALUE"""),35.0)</f>
        <v>35</v>
      </c>
      <c r="C19" s="3" t="str">
        <f>IFERROR(__xludf.DUMMYFUNCTION("""COMPUTED_VALUE"""),"ХодЛосем")</f>
        <v>ХодЛосем</v>
      </c>
      <c r="D19" s="3" t="str">
        <f>IFERROR(__xludf.DUMMYFUNCTION("""COMPUTED_VALUE"""),"Салов Евгений Евгеньевич")</f>
        <v>Салов Евгений Евгеньевич</v>
      </c>
      <c r="E19" s="3" t="str">
        <f>IFERROR(__xludf.DUMMYFUNCTION("""COMPUTED_VALUE"""),"Салов Александр")</f>
        <v>Салов Александр</v>
      </c>
      <c r="F19" s="3"/>
      <c r="G19" s="3" t="str">
        <f>IFERROR(__xludf.DUMMYFUNCTION("""COMPUTED_VALUE"""),"подтверждена ")</f>
        <v>подтверждена </v>
      </c>
      <c r="H19" s="5">
        <f>IFERROR(__xludf.DUMMYFUNCTION("""COMPUTED_VALUE"""),0.44513888888888886)</f>
        <v>0.4451388889</v>
      </c>
      <c r="I19" s="6">
        <f>IFERROR(__xludf.DUMMYFUNCTION("""COMPUTED_VALUE"""),44352.0)</f>
        <v>44352</v>
      </c>
      <c r="J19" s="5">
        <f>IFERROR(__xludf.DUMMYFUNCTION("""COMPUTED_VALUE"""),0.7215277777777778)</f>
        <v>0.7215277778</v>
      </c>
      <c r="K19" s="6">
        <f>IFERROR(__xludf.DUMMYFUNCTION("""COMPUTED_VALUE"""),44352.0)</f>
        <v>44352</v>
      </c>
      <c r="L19" s="5">
        <f>IFERROR(__xludf.DUMMYFUNCTION("""COMPUTED_VALUE"""),0.2763888888906675)</f>
        <v>0.2763888889</v>
      </c>
      <c r="M19" s="3"/>
    </row>
    <row r="20">
      <c r="A20" s="3">
        <f>IFERROR(__xludf.DUMMYFUNCTION("""COMPUTED_VALUE"""),34.0)</f>
        <v>34</v>
      </c>
      <c r="B20" s="4">
        <f>IFERROR(__xludf.DUMMYFUNCTION("""COMPUTED_VALUE"""),20.0)</f>
        <v>20</v>
      </c>
      <c r="C20" s="3" t="str">
        <f>IFERROR(__xludf.DUMMYFUNCTION("""COMPUTED_VALUE"""),"Пешком")</f>
        <v>Пешком</v>
      </c>
      <c r="D20" s="3" t="str">
        <f>IFERROR(__xludf.DUMMYFUNCTION("""COMPUTED_VALUE"""),"Миронович Дмитрий")</f>
        <v>Миронович Дмитрий</v>
      </c>
      <c r="E20" s="3" t="str">
        <f>IFERROR(__xludf.DUMMYFUNCTION("""COMPUTED_VALUE"""),"Миронович Елена")</f>
        <v>Миронович Елена</v>
      </c>
      <c r="F20" s="3"/>
      <c r="G20" s="3" t="str">
        <f>IFERROR(__xludf.DUMMYFUNCTION("""COMPUTED_VALUE"""),"подтверждена")</f>
        <v>подтверждена</v>
      </c>
      <c r="H20" s="5">
        <f>IFERROR(__xludf.DUMMYFUNCTION("""COMPUTED_VALUE"""),0.39375)</f>
        <v>0.39375</v>
      </c>
      <c r="I20" s="6">
        <f>IFERROR(__xludf.DUMMYFUNCTION("""COMPUTED_VALUE"""),44352.0)</f>
        <v>44352</v>
      </c>
      <c r="J20" s="5">
        <f>IFERROR(__xludf.DUMMYFUNCTION("""COMPUTED_VALUE"""),0.6708333333333333)</f>
        <v>0.6708333333</v>
      </c>
      <c r="K20" s="6">
        <f>IFERROR(__xludf.DUMMYFUNCTION("""COMPUTED_VALUE"""),44352.0)</f>
        <v>44352</v>
      </c>
      <c r="L20" s="5">
        <f>IFERROR(__xludf.DUMMYFUNCTION("""COMPUTED_VALUE"""),0.2770833333299379)</f>
        <v>0.2770833333</v>
      </c>
      <c r="M20" s="3"/>
    </row>
    <row r="21">
      <c r="A21" s="3">
        <f>IFERROR(__xludf.DUMMYFUNCTION("""COMPUTED_VALUE"""),64.0)</f>
        <v>64</v>
      </c>
      <c r="B21" s="4">
        <f>IFERROR(__xludf.DUMMYFUNCTION("""COMPUTED_VALUE"""),20.0)</f>
        <v>20</v>
      </c>
      <c r="C21" s="3" t="str">
        <f>IFERROR(__xludf.DUMMYFUNCTION("""COMPUTED_VALUE"""),"ЯК2")</f>
        <v>ЯК2</v>
      </c>
      <c r="D21" s="3" t="str">
        <f>IFERROR(__xludf.DUMMYFUNCTION("""COMPUTED_VALUE"""),"Лукьянцев Дмитрий Анатольевич")</f>
        <v>Лукьянцев Дмитрий Анатольевич</v>
      </c>
      <c r="E21" s="3"/>
      <c r="F21" s="3"/>
      <c r="G21" s="3" t="str">
        <f>IFERROR(__xludf.DUMMYFUNCTION("""COMPUTED_VALUE"""),"подтверждена ")</f>
        <v>подтверждена </v>
      </c>
      <c r="H21" s="5">
        <f>IFERROR(__xludf.DUMMYFUNCTION("""COMPUTED_VALUE"""),0.37222222222222223)</f>
        <v>0.3722222222</v>
      </c>
      <c r="I21" s="6">
        <f>IFERROR(__xludf.DUMMYFUNCTION("""COMPUTED_VALUE"""),44352.0)</f>
        <v>44352</v>
      </c>
      <c r="J21" s="5">
        <f>IFERROR(__xludf.DUMMYFUNCTION("""COMPUTED_VALUE"""),0.6673611111111111)</f>
        <v>0.6673611111</v>
      </c>
      <c r="K21" s="6">
        <f>IFERROR(__xludf.DUMMYFUNCTION("""COMPUTED_VALUE"""),44352.0)</f>
        <v>44352</v>
      </c>
      <c r="L21" s="5">
        <f>IFERROR(__xludf.DUMMYFUNCTION("""COMPUTED_VALUE"""),0.2951388888887272)</f>
        <v>0.2951388889</v>
      </c>
      <c r="M21" s="3"/>
    </row>
    <row r="22">
      <c r="A22" s="3">
        <f>IFERROR(__xludf.DUMMYFUNCTION("""COMPUTED_VALUE"""),43.0)</f>
        <v>43</v>
      </c>
      <c r="B22" s="8">
        <f>IFERROR(__xludf.DUMMYFUNCTION("""COMPUTED_VALUE"""),45.0)</f>
        <v>45</v>
      </c>
      <c r="C22" s="3" t="str">
        <f>IFERROR(__xludf.DUMMYFUNCTION("""COMPUTED_VALUE"""),"Тюлень Ириша")</f>
        <v>Тюлень Ириша</v>
      </c>
      <c r="D22" s="3" t="str">
        <f>IFERROR(__xludf.DUMMYFUNCTION("""COMPUTED_VALUE"""),"Хусаинова Ирина Исмагильяновна")</f>
        <v>Хусаинова Ирина Исмагильяновна</v>
      </c>
      <c r="E22" s="3"/>
      <c r="F22" s="3"/>
      <c r="G22" s="3" t="str">
        <f>IFERROR(__xludf.DUMMYFUNCTION("""COMPUTED_VALUE"""),"подтверждена ")</f>
        <v>подтверждена </v>
      </c>
      <c r="H22" s="5">
        <f>IFERROR(__xludf.DUMMYFUNCTION("""COMPUTED_VALUE"""),0.4340277777777778)</f>
        <v>0.4340277778</v>
      </c>
      <c r="I22" s="6">
        <f>IFERROR(__xludf.DUMMYFUNCTION("""COMPUTED_VALUE"""),44352.0)</f>
        <v>44352</v>
      </c>
      <c r="J22" s="5">
        <f>IFERROR(__xludf.DUMMYFUNCTION("""COMPUTED_VALUE"""),0.7395833333333334)</f>
        <v>0.7395833333</v>
      </c>
      <c r="K22" s="6">
        <f>IFERROR(__xludf.DUMMYFUNCTION("""COMPUTED_VALUE"""),44352.0)</f>
        <v>44352</v>
      </c>
      <c r="L22" s="5">
        <f>IFERROR(__xludf.DUMMYFUNCTION("""COMPUTED_VALUE"""),0.30555555555798086)</f>
        <v>0.3055555556</v>
      </c>
      <c r="M22" s="3"/>
    </row>
    <row r="23">
      <c r="A23" s="3">
        <f>IFERROR(__xludf.DUMMYFUNCTION("""COMPUTED_VALUE"""),97.0)</f>
        <v>97</v>
      </c>
      <c r="B23" s="7">
        <f>IFERROR(__xludf.DUMMYFUNCTION("""COMPUTED_VALUE"""),35.0)</f>
        <v>35</v>
      </c>
      <c r="C23" s="3"/>
      <c r="D23" s="3" t="str">
        <f>IFERROR(__xludf.DUMMYFUNCTION("""COMPUTED_VALUE"""),"Екатерина Бэкер")</f>
        <v>Екатерина Бэкер</v>
      </c>
      <c r="E23" s="3"/>
      <c r="F23" s="3"/>
      <c r="G23" s="3"/>
      <c r="H23" s="5">
        <f>IFERROR(__xludf.DUMMYFUNCTION("""COMPUTED_VALUE"""),0.08333333333333333)</f>
        <v>0.08333333333</v>
      </c>
      <c r="I23" s="6">
        <f>IFERROR(__xludf.DUMMYFUNCTION("""COMPUTED_VALUE"""),44353.0)</f>
        <v>44353</v>
      </c>
      <c r="J23" s="5">
        <f>IFERROR(__xludf.DUMMYFUNCTION("""COMPUTED_VALUE"""),0.38958333333333334)</f>
        <v>0.3895833333</v>
      </c>
      <c r="K23" s="6">
        <f>IFERROR(__xludf.DUMMYFUNCTION("""COMPUTED_VALUE"""),44353.0)</f>
        <v>44353</v>
      </c>
      <c r="L23" s="5">
        <f>IFERROR(__xludf.DUMMYFUNCTION("""COMPUTED_VALUE"""),0.30624999999660457)</f>
        <v>0.30625</v>
      </c>
      <c r="M23" s="3"/>
    </row>
    <row r="24">
      <c r="A24" s="3">
        <f>IFERROR(__xludf.DUMMYFUNCTION("""COMPUTED_VALUE"""),98.0)</f>
        <v>98</v>
      </c>
      <c r="B24" s="7">
        <f>IFERROR(__xludf.DUMMYFUNCTION("""COMPUTED_VALUE"""),35.0)</f>
        <v>35</v>
      </c>
      <c r="C24" s="3" t="str">
        <f>IFERROR(__xludf.DUMMYFUNCTION("""COMPUTED_VALUE"""),"Артем")</f>
        <v>Артем</v>
      </c>
      <c r="D24" s="3" t="str">
        <f>IFERROR(__xludf.DUMMYFUNCTION("""COMPUTED_VALUE"""),"Борзилов Артем Ильич")</f>
        <v>Борзилов Артем Ильич</v>
      </c>
      <c r="E24" s="3"/>
      <c r="F24" s="3"/>
      <c r="G24" s="3" t="str">
        <f>IFERROR(__xludf.DUMMYFUNCTION("""COMPUTED_VALUE"""),"подтверждена ")</f>
        <v>подтверждена </v>
      </c>
      <c r="H24" s="5">
        <f>IFERROR(__xludf.DUMMYFUNCTION("""COMPUTED_VALUE"""),0.08333333333333333)</f>
        <v>0.08333333333</v>
      </c>
      <c r="I24" s="6">
        <f>IFERROR(__xludf.DUMMYFUNCTION("""COMPUTED_VALUE"""),44353.0)</f>
        <v>44353</v>
      </c>
      <c r="J24" s="5">
        <f>IFERROR(__xludf.DUMMYFUNCTION("""COMPUTED_VALUE"""),0.38958333333333334)</f>
        <v>0.3895833333</v>
      </c>
      <c r="K24" s="6">
        <f>IFERROR(__xludf.DUMMYFUNCTION("""COMPUTED_VALUE"""),44353.0)</f>
        <v>44353</v>
      </c>
      <c r="L24" s="5">
        <f>IFERROR(__xludf.DUMMYFUNCTION("""COMPUTED_VALUE"""),0.30624999999660457)</f>
        <v>0.30625</v>
      </c>
      <c r="M24" s="3"/>
    </row>
    <row r="25">
      <c r="A25" s="3">
        <f>IFERROR(__xludf.DUMMYFUNCTION("""COMPUTED_VALUE"""),48.0)</f>
        <v>48</v>
      </c>
      <c r="B25" s="8">
        <f>IFERROR(__xludf.DUMMYFUNCTION("""COMPUTED_VALUE"""),45.0)</f>
        <v>45</v>
      </c>
      <c r="C25" s="3" t="str">
        <f>IFERROR(__xludf.DUMMYFUNCTION("""COMPUTED_VALUE"""),"RM-1902")</f>
        <v>RM-1902</v>
      </c>
      <c r="D25" s="3" t="str">
        <f>IFERROR(__xludf.DUMMYFUNCTION("""COMPUTED_VALUE"""),"Борис Димитров")</f>
        <v>Борис Димитров</v>
      </c>
      <c r="E25" s="3"/>
      <c r="F25" s="3"/>
      <c r="G25" s="3" t="str">
        <f>IFERROR(__xludf.DUMMYFUNCTION("""COMPUTED_VALUE"""),"подтверждена ")</f>
        <v>подтверждена </v>
      </c>
      <c r="H25" s="5">
        <f>IFERROR(__xludf.DUMMYFUNCTION("""COMPUTED_VALUE"""),0.37916666666666665)</f>
        <v>0.3791666667</v>
      </c>
      <c r="I25" s="6">
        <f>IFERROR(__xludf.DUMMYFUNCTION("""COMPUTED_VALUE"""),44352.0)</f>
        <v>44352</v>
      </c>
      <c r="J25" s="5">
        <f>IFERROR(__xludf.DUMMYFUNCTION("""COMPUTED_VALUE"""),0.6923611111111111)</f>
        <v>0.6923611111</v>
      </c>
      <c r="K25" s="6">
        <f>IFERROR(__xludf.DUMMYFUNCTION("""COMPUTED_VALUE"""),44352.0)</f>
        <v>44352</v>
      </c>
      <c r="L25" s="5">
        <f>IFERROR(__xludf.DUMMYFUNCTION("""COMPUTED_VALUE"""),0.31319444444573796)</f>
        <v>0.3131944444</v>
      </c>
      <c r="M25" s="3" t="str">
        <f>IFERROR(__xludf.DUMMYFUNCTION("""COMPUTED_VALUE"""),",")</f>
        <v>,</v>
      </c>
    </row>
    <row r="26">
      <c r="A26" s="3">
        <f>IFERROR(__xludf.DUMMYFUNCTION("""COMPUTED_VALUE"""),78.0)</f>
        <v>78</v>
      </c>
      <c r="B26" s="4">
        <f>IFERROR(__xludf.DUMMYFUNCTION("""COMPUTED_VALUE"""),20.0)</f>
        <v>20</v>
      </c>
      <c r="C26" s="3" t="str">
        <f>IFERROR(__xludf.DUMMYFUNCTION("""COMPUTED_VALUE"""),"День Сурка")</f>
        <v>День Сурка</v>
      </c>
      <c r="D26" s="3" t="str">
        <f>IFERROR(__xludf.DUMMYFUNCTION("""COMPUTED_VALUE"""),"Деловая Софья ")</f>
        <v>Деловая Софья </v>
      </c>
      <c r="E26" s="3" t="str">
        <f>IFERROR(__xludf.DUMMYFUNCTION("""COMPUTED_VALUE"""),"Иван")</f>
        <v>Иван</v>
      </c>
      <c r="F26" s="3" t="str">
        <f>IFERROR(__xludf.DUMMYFUNCTION("""COMPUTED_VALUE"""),"Таисия Новикова (несоверш)")</f>
        <v>Таисия Новикова (несоверш)</v>
      </c>
      <c r="G26" s="3" t="str">
        <f>IFERROR(__xludf.DUMMYFUNCTION("""COMPUTED_VALUE"""),"подтверждена ")</f>
        <v>подтверждена </v>
      </c>
      <c r="H26" s="5">
        <f>IFERROR(__xludf.DUMMYFUNCTION("""COMPUTED_VALUE"""),0.3541666666666667)</f>
        <v>0.3541666667</v>
      </c>
      <c r="I26" s="6">
        <f>IFERROR(__xludf.DUMMYFUNCTION("""COMPUTED_VALUE"""),44352.0)</f>
        <v>44352</v>
      </c>
      <c r="J26" s="5">
        <f>IFERROR(__xludf.DUMMYFUNCTION("""COMPUTED_VALUE"""),0.6680555555555555)</f>
        <v>0.6680555556</v>
      </c>
      <c r="K26" s="6">
        <f>IFERROR(__xludf.DUMMYFUNCTION("""COMPUTED_VALUE"""),44352.0)</f>
        <v>44352</v>
      </c>
      <c r="L26" s="5">
        <f>IFERROR(__xludf.DUMMYFUNCTION("""COMPUTED_VALUE"""),0.3138888888909908)</f>
        <v>0.3138888889</v>
      </c>
      <c r="M26" s="3"/>
    </row>
    <row r="27">
      <c r="A27" s="3">
        <f>IFERROR(__xludf.DUMMYFUNCTION("""COMPUTED_VALUE"""),22.0)</f>
        <v>22</v>
      </c>
      <c r="B27" s="4">
        <f>IFERROR(__xludf.DUMMYFUNCTION("""COMPUTED_VALUE"""),20.0)</f>
        <v>20</v>
      </c>
      <c r="C27" s="3" t="str">
        <f>IFERROR(__xludf.DUMMYFUNCTION("""COMPUTED_VALUE"""),"Бабай-Шагай")</f>
        <v>Бабай-Шагай</v>
      </c>
      <c r="D27" s="3" t="str">
        <f>IFERROR(__xludf.DUMMYFUNCTION("""COMPUTED_VALUE"""),"Кузьмичев Дмитрий Олегович")</f>
        <v>Кузьмичев Дмитрий Олегович</v>
      </c>
      <c r="E27" s="3" t="str">
        <f>IFERROR(__xludf.DUMMYFUNCTION("""COMPUTED_VALUE"""),"Кузьмичева Анна Владимировна")</f>
        <v>Кузьмичева Анна Владимировна</v>
      </c>
      <c r="F27" s="3"/>
      <c r="G27" s="3" t="str">
        <f>IFERROR(__xludf.DUMMYFUNCTION("""COMPUTED_VALUE"""),"подтверждена ")</f>
        <v>подтверждена </v>
      </c>
      <c r="H27" s="5">
        <f>IFERROR(__xludf.DUMMYFUNCTION("""COMPUTED_VALUE"""),0.25)</f>
        <v>0.25</v>
      </c>
      <c r="I27" s="6">
        <f>IFERROR(__xludf.DUMMYFUNCTION("""COMPUTED_VALUE"""),44353.0)</f>
        <v>44353</v>
      </c>
      <c r="J27" s="5">
        <f>IFERROR(__xludf.DUMMYFUNCTION("""COMPUTED_VALUE"""),0.5729166666666666)</f>
        <v>0.5729166667</v>
      </c>
      <c r="K27" s="6">
        <f>IFERROR(__xludf.DUMMYFUNCTION("""COMPUTED_VALUE"""),44353.0)</f>
        <v>44353</v>
      </c>
      <c r="L27" s="5">
        <f>IFERROR(__xludf.DUMMYFUNCTION("""COMPUTED_VALUE"""),0.32291666666424135)</f>
        <v>0.3229166667</v>
      </c>
      <c r="M27" s="3"/>
    </row>
    <row r="28">
      <c r="A28" s="3">
        <f>IFERROR(__xludf.DUMMYFUNCTION("""COMPUTED_VALUE"""),10.0)</f>
        <v>10</v>
      </c>
      <c r="B28" s="8">
        <f>IFERROR(__xludf.DUMMYFUNCTION("""COMPUTED_VALUE"""),45.0)</f>
        <v>45</v>
      </c>
      <c r="C28" s="3" t="str">
        <f>IFERROR(__xludf.DUMMYFUNCTION("""COMPUTED_VALUE"""),"Безуминка")</f>
        <v>Безуминка</v>
      </c>
      <c r="D28" s="3" t="str">
        <f>IFERROR(__xludf.DUMMYFUNCTION("""COMPUTED_VALUE"""),"Зверев Сергей")</f>
        <v>Зверев Сергей</v>
      </c>
      <c r="E28" s="3" t="str">
        <f>IFERROR(__xludf.DUMMYFUNCTION("""COMPUTED_VALUE"""),"Бурчак Алена")</f>
        <v>Бурчак Алена</v>
      </c>
      <c r="F28" s="3"/>
      <c r="G28" s="3"/>
      <c r="H28" s="5">
        <f>IFERROR(__xludf.DUMMYFUNCTION("""COMPUTED_VALUE"""),0.4388888888888889)</f>
        <v>0.4388888889</v>
      </c>
      <c r="I28" s="6">
        <f>IFERROR(__xludf.DUMMYFUNCTION("""COMPUTED_VALUE"""),44352.0)</f>
        <v>44352</v>
      </c>
      <c r="J28" s="5">
        <f>IFERROR(__xludf.DUMMYFUNCTION("""COMPUTED_VALUE"""),0.7729166666666667)</f>
        <v>0.7729166667</v>
      </c>
      <c r="K28" s="6">
        <f>IFERROR(__xludf.DUMMYFUNCTION("""COMPUTED_VALUE"""),44352.0)</f>
        <v>44352</v>
      </c>
      <c r="L28" s="5">
        <f>IFERROR(__xludf.DUMMYFUNCTION("""COMPUTED_VALUE"""),0.33402777777971804)</f>
        <v>0.3340277778</v>
      </c>
      <c r="M28" s="3"/>
    </row>
    <row r="29">
      <c r="A29" s="3">
        <f>IFERROR(__xludf.DUMMYFUNCTION("""COMPUTED_VALUE"""),90.0)</f>
        <v>90</v>
      </c>
      <c r="B29" s="8">
        <f>IFERROR(__xludf.DUMMYFUNCTION("""COMPUTED_VALUE"""),45.0)</f>
        <v>45</v>
      </c>
      <c r="C29" s="3"/>
      <c r="D29" s="3" t="str">
        <f>IFERROR(__xludf.DUMMYFUNCTION("""COMPUTED_VALUE"""),"Бобкова Екатерина")</f>
        <v>Бобкова Екатерина</v>
      </c>
      <c r="E29" s="3"/>
      <c r="F29" s="3"/>
      <c r="G29" s="3" t="str">
        <f>IFERROR(__xludf.DUMMYFUNCTION("""COMPUTED_VALUE"""),"подтверждена ")</f>
        <v>подтверждена </v>
      </c>
      <c r="H29" s="5">
        <f>IFERROR(__xludf.DUMMYFUNCTION("""COMPUTED_VALUE"""),0.4513888888888889)</f>
        <v>0.4513888889</v>
      </c>
      <c r="I29" s="6">
        <f>IFERROR(__xludf.DUMMYFUNCTION("""COMPUTED_VALUE"""),44352.0)</f>
        <v>44352</v>
      </c>
      <c r="J29" s="5">
        <f>IFERROR(__xludf.DUMMYFUNCTION("""COMPUTED_VALUE"""),0.7861111111111111)</f>
        <v>0.7861111111</v>
      </c>
      <c r="K29" s="6">
        <f>IFERROR(__xludf.DUMMYFUNCTION("""COMPUTED_VALUE"""),44352.0)</f>
        <v>44352</v>
      </c>
      <c r="L29" s="5">
        <f>IFERROR(__xludf.DUMMYFUNCTION("""COMPUTED_VALUE"""),0.3347222222235157)</f>
        <v>0.3347222222</v>
      </c>
      <c r="M29" s="3"/>
    </row>
    <row r="30">
      <c r="A30" s="3">
        <f>IFERROR(__xludf.DUMMYFUNCTION("""COMPUTED_VALUE"""),23.0)</f>
        <v>23</v>
      </c>
      <c r="B30" s="7">
        <f>IFERROR(__xludf.DUMMYFUNCTION("""COMPUTED_VALUE"""),35.0)</f>
        <v>35</v>
      </c>
      <c r="C30" s="3" t="str">
        <f>IFERROR(__xludf.DUMMYFUNCTION("""COMPUTED_VALUE"""),"Гражданская оборона")</f>
        <v>Гражданская оборона</v>
      </c>
      <c r="D30" s="3" t="str">
        <f>IFERROR(__xludf.DUMMYFUNCTION("""COMPUTED_VALUE"""),"Корешков Александр Михайлович")</f>
        <v>Корешков Александр Михайлович</v>
      </c>
      <c r="E30" s="3" t="str">
        <f>IFERROR(__xludf.DUMMYFUNCTION("""COMPUTED_VALUE"""),"Афонченко Евгений")</f>
        <v>Афонченко Евгений</v>
      </c>
      <c r="F30" s="3" t="str">
        <f>IFERROR(__xludf.DUMMYFUNCTION("""COMPUTED_VALUE"""),"Сакулина Екатерина")</f>
        <v>Сакулина Екатерина</v>
      </c>
      <c r="G30" s="3" t="str">
        <f>IFERROR(__xludf.DUMMYFUNCTION("""COMPUTED_VALUE"""),"подтверждена ")</f>
        <v>подтверждена </v>
      </c>
      <c r="H30" s="5">
        <f>IFERROR(__xludf.DUMMYFUNCTION("""COMPUTED_VALUE"""),0.4305555555555556)</f>
        <v>0.4305555556</v>
      </c>
      <c r="I30" s="6">
        <f>IFERROR(__xludf.DUMMYFUNCTION("""COMPUTED_VALUE"""),44352.0)</f>
        <v>44352</v>
      </c>
      <c r="J30" s="5">
        <f>IFERROR(__xludf.DUMMYFUNCTION("""COMPUTED_VALUE"""),0.7798611111111111)</f>
        <v>0.7798611111</v>
      </c>
      <c r="K30" s="6">
        <f>IFERROR(__xludf.DUMMYFUNCTION("""COMPUTED_VALUE"""),44352.0)</f>
        <v>44352</v>
      </c>
      <c r="L30" s="5">
        <f>IFERROR(__xludf.DUMMYFUNCTION("""COMPUTED_VALUE"""),0.3493055555583042)</f>
        <v>0.3493055556</v>
      </c>
      <c r="M30" s="3"/>
    </row>
    <row r="31">
      <c r="A31" s="3">
        <f>IFERROR(__xludf.DUMMYFUNCTION("""COMPUTED_VALUE"""),52.0)</f>
        <v>52</v>
      </c>
      <c r="B31" s="7">
        <f>IFERROR(__xludf.DUMMYFUNCTION("""COMPUTED_VALUE"""),35.0)</f>
        <v>35</v>
      </c>
      <c r="C31" s="3" t="str">
        <f>IFERROR(__xludf.DUMMYFUNCTION("""COMPUTED_VALUE"""),"[oH] Grey")</f>
        <v>[oH] Grey</v>
      </c>
      <c r="D31" s="3" t="str">
        <f>IFERROR(__xludf.DUMMYFUNCTION("""COMPUTED_VALUE"""),"Дьяконов Михаил")</f>
        <v>Дьяконов Михаил</v>
      </c>
      <c r="E31" s="3"/>
      <c r="F31" s="3"/>
      <c r="G31" s="3" t="str">
        <f>IFERROR(__xludf.DUMMYFUNCTION("""COMPUTED_VALUE"""),"подтверждена ")</f>
        <v>подтверждена </v>
      </c>
      <c r="H31" s="5">
        <f>IFERROR(__xludf.DUMMYFUNCTION("""COMPUTED_VALUE"""),0.5013888888888889)</f>
        <v>0.5013888889</v>
      </c>
      <c r="I31" s="6">
        <f>IFERROR(__xludf.DUMMYFUNCTION("""COMPUTED_VALUE"""),44352.0)</f>
        <v>44352</v>
      </c>
      <c r="J31" s="5">
        <f>IFERROR(__xludf.DUMMYFUNCTION("""COMPUTED_VALUE"""),0.8618055555555556)</f>
        <v>0.8618055556</v>
      </c>
      <c r="K31" s="6">
        <f>IFERROR(__xludf.DUMMYFUNCTION("""COMPUTED_VALUE"""),44352.0)</f>
        <v>44352</v>
      </c>
      <c r="L31" s="5">
        <f>IFERROR(__xludf.DUMMYFUNCTION("""COMPUTED_VALUE"""),0.3604166666673134)</f>
        <v>0.3604166667</v>
      </c>
      <c r="M31" s="3"/>
    </row>
    <row r="32">
      <c r="A32" s="3">
        <f>IFERROR(__xludf.DUMMYFUNCTION("""COMPUTED_VALUE"""),96.0)</f>
        <v>96</v>
      </c>
      <c r="B32" s="8">
        <f>IFERROR(__xludf.DUMMYFUNCTION("""COMPUTED_VALUE"""),45.0)</f>
        <v>45</v>
      </c>
      <c r="C32" s="3"/>
      <c r="D32" s="3" t="str">
        <f>IFERROR(__xludf.DUMMYFUNCTION("""COMPUTED_VALUE"""),"Егор Задеба")</f>
        <v>Егор Задеба</v>
      </c>
      <c r="E32" s="3"/>
      <c r="F32" s="3"/>
      <c r="G32" s="3"/>
      <c r="H32" s="5">
        <f>IFERROR(__xludf.DUMMYFUNCTION("""COMPUTED_VALUE"""),0.5708333333333333)</f>
        <v>0.5708333333</v>
      </c>
      <c r="I32" s="6">
        <f>IFERROR(__xludf.DUMMYFUNCTION("""COMPUTED_VALUE"""),44352.0)</f>
        <v>44352</v>
      </c>
      <c r="J32" s="5">
        <f>IFERROR(__xludf.DUMMYFUNCTION("""COMPUTED_VALUE"""),0.9326388888888889)</f>
        <v>0.9326388889</v>
      </c>
      <c r="K32" s="6">
        <f>IFERROR(__xludf.DUMMYFUNCTION("""COMPUTED_VALUE"""),44352.0)</f>
        <v>44352</v>
      </c>
      <c r="L32" s="5">
        <f>IFERROR(__xludf.DUMMYFUNCTION("""COMPUTED_VALUE"""),0.3618055555542621)</f>
        <v>0.3618055556</v>
      </c>
      <c r="M32" s="3"/>
    </row>
    <row r="33">
      <c r="A33" s="3">
        <f>IFERROR(__xludf.DUMMYFUNCTION("""COMPUTED_VALUE"""),14.0)</f>
        <v>14</v>
      </c>
      <c r="B33" s="8">
        <f>IFERROR(__xludf.DUMMYFUNCTION("""COMPUTED_VALUE"""),45.0)</f>
        <v>45</v>
      </c>
      <c r="C33" s="3" t="str">
        <f>IFERROR(__xludf.DUMMYFUNCTION("""COMPUTED_VALUE"""),"""Ос""")</f>
        <v>"Ос"</v>
      </c>
      <c r="D33" s="3" t="str">
        <f>IFERROR(__xludf.DUMMYFUNCTION("""COMPUTED_VALUE"""),"Жученко Дмитрий Игоревич")</f>
        <v>Жученко Дмитрий Игоревич</v>
      </c>
      <c r="E33" s="3" t="str">
        <f>IFERROR(__xludf.DUMMYFUNCTION("""COMPUTED_VALUE"""),"Трифонов Илья Олегович")</f>
        <v>Трифонов Илья Олегович</v>
      </c>
      <c r="F33" s="3"/>
      <c r="G33" s="3" t="str">
        <f>IFERROR(__xludf.DUMMYFUNCTION("""COMPUTED_VALUE"""),"подтверждена ")</f>
        <v>подтверждена </v>
      </c>
      <c r="H33" s="5">
        <f>IFERROR(__xludf.DUMMYFUNCTION("""COMPUTED_VALUE"""),0.3194444444444444)</f>
        <v>0.3194444444</v>
      </c>
      <c r="I33" s="6">
        <f>IFERROR(__xludf.DUMMYFUNCTION("""COMPUTED_VALUE"""),44352.0)</f>
        <v>44352</v>
      </c>
      <c r="J33" s="5">
        <f>IFERROR(__xludf.DUMMYFUNCTION("""COMPUTED_VALUE"""),0.6854166666666667)</f>
        <v>0.6854166667</v>
      </c>
      <c r="K33" s="6">
        <f>IFERROR(__xludf.DUMMYFUNCTION("""COMPUTED_VALUE"""),44352.0)</f>
        <v>44352</v>
      </c>
      <c r="L33" s="5">
        <f>IFERROR(__xludf.DUMMYFUNCTION("""COMPUTED_VALUE"""),0.3659722222227073)</f>
        <v>0.3659722222</v>
      </c>
      <c r="M33" s="3"/>
    </row>
    <row r="34">
      <c r="A34" s="3">
        <f>IFERROR(__xludf.DUMMYFUNCTION("""COMPUTED_VALUE"""),33.0)</f>
        <v>33</v>
      </c>
      <c r="B34" s="8">
        <f>IFERROR(__xludf.DUMMYFUNCTION("""COMPUTED_VALUE"""),45.0)</f>
        <v>45</v>
      </c>
      <c r="C34" s="3" t="str">
        <f>IFERROR(__xludf.DUMMYFUNCTION("""COMPUTED_VALUE"""),"Диванные лоси")</f>
        <v>Диванные лоси</v>
      </c>
      <c r="D34" s="3" t="str">
        <f>IFERROR(__xludf.DUMMYFUNCTION("""COMPUTED_VALUE"""),"Серговский Иван Александрович")</f>
        <v>Серговский Иван Александрович</v>
      </c>
      <c r="E34" s="3"/>
      <c r="F34" s="3"/>
      <c r="G34" s="3" t="str">
        <f>IFERROR(__xludf.DUMMYFUNCTION("""COMPUTED_VALUE"""),"подтверждена ")</f>
        <v>подтверждена </v>
      </c>
      <c r="H34" s="5">
        <f>IFERROR(__xludf.DUMMYFUNCTION("""COMPUTED_VALUE"""),0.28194444444444444)</f>
        <v>0.2819444444</v>
      </c>
      <c r="I34" s="6">
        <f>IFERROR(__xludf.DUMMYFUNCTION("""COMPUTED_VALUE"""),44352.0)</f>
        <v>44352</v>
      </c>
      <c r="J34" s="5">
        <f>IFERROR(__xludf.DUMMYFUNCTION("""COMPUTED_VALUE"""),0.6506944444444445)</f>
        <v>0.6506944444</v>
      </c>
      <c r="K34" s="6">
        <f>IFERROR(__xludf.DUMMYFUNCTION("""COMPUTED_VALUE"""),44352.0)</f>
        <v>44352</v>
      </c>
      <c r="L34" s="5">
        <f>IFERROR(__xludf.DUMMYFUNCTION("""COMPUTED_VALUE"""),0.36874999999644287)</f>
        <v>0.36875</v>
      </c>
      <c r="M34" s="3"/>
    </row>
    <row r="35">
      <c r="A35" s="3">
        <f>IFERROR(__xludf.DUMMYFUNCTION("""COMPUTED_VALUE"""),89.0)</f>
        <v>89</v>
      </c>
      <c r="B35" s="8">
        <f>IFERROR(__xludf.DUMMYFUNCTION("""COMPUTED_VALUE"""),45.0)</f>
        <v>45</v>
      </c>
      <c r="C35" s="3"/>
      <c r="D35" s="3" t="str">
        <f>IFERROR(__xludf.DUMMYFUNCTION("""COMPUTED_VALUE"""),"Федор Козлов")</f>
        <v>Федор Козлов</v>
      </c>
      <c r="E35" s="3"/>
      <c r="F35" s="3"/>
      <c r="G35" s="3"/>
      <c r="H35" s="5">
        <f>IFERROR(__xludf.DUMMYFUNCTION("""COMPUTED_VALUE"""),0.4027777777777778)</f>
        <v>0.4027777778</v>
      </c>
      <c r="I35" s="6">
        <f>IFERROR(__xludf.DUMMYFUNCTION("""COMPUTED_VALUE"""),44352.0)</f>
        <v>44352</v>
      </c>
      <c r="J35" s="5">
        <f>IFERROR(__xludf.DUMMYFUNCTION("""COMPUTED_VALUE"""),0.7729166666666667)</f>
        <v>0.7729166667</v>
      </c>
      <c r="K35" s="6">
        <f>IFERROR(__xludf.DUMMYFUNCTION("""COMPUTED_VALUE"""),44352.0)</f>
        <v>44352</v>
      </c>
      <c r="L35" s="5">
        <f>IFERROR(__xludf.DUMMYFUNCTION("""COMPUTED_VALUE"""),0.37013888889082913)</f>
        <v>0.3701388889</v>
      </c>
      <c r="M35" s="3"/>
    </row>
    <row r="36">
      <c r="A36" s="3">
        <f>IFERROR(__xludf.DUMMYFUNCTION("""COMPUTED_VALUE"""),37.0)</f>
        <v>37</v>
      </c>
      <c r="B36" s="4">
        <f>IFERROR(__xludf.DUMMYFUNCTION("""COMPUTED_VALUE"""),20.0)</f>
        <v>20</v>
      </c>
      <c r="C36" s="3" t="str">
        <f>IFERROR(__xludf.DUMMYFUNCTION("""COMPUTED_VALUE"""),"Кивики")</f>
        <v>Кивики</v>
      </c>
      <c r="D36" s="3" t="str">
        <f>IFERROR(__xludf.DUMMYFUNCTION("""COMPUTED_VALUE"""),"Титова-Стетюкевич Юлия Александровна")</f>
        <v>Титова-Стетюкевич Юлия Александровна</v>
      </c>
      <c r="E36" s="3"/>
      <c r="F36" s="3"/>
      <c r="G36" s="3"/>
      <c r="H36" s="5">
        <f>IFERROR(__xludf.DUMMYFUNCTION("""COMPUTED_VALUE"""),0.5625)</f>
        <v>0.5625</v>
      </c>
      <c r="I36" s="6">
        <f>IFERROR(__xludf.DUMMYFUNCTION("""COMPUTED_VALUE"""),44352.0)</f>
        <v>44352</v>
      </c>
      <c r="J36" s="5">
        <f>IFERROR(__xludf.DUMMYFUNCTION("""COMPUTED_VALUE"""),0.9486111111111111)</f>
        <v>0.9486111111</v>
      </c>
      <c r="K36" s="6">
        <f>IFERROR(__xludf.DUMMYFUNCTION("""COMPUTED_VALUE"""),44352.0)</f>
        <v>44352</v>
      </c>
      <c r="L36" s="5">
        <f>IFERROR(__xludf.DUMMYFUNCTION("""COMPUTED_VALUE"""),0.3861111111109494)</f>
        <v>0.3861111111</v>
      </c>
      <c r="M36" s="3"/>
    </row>
    <row r="37">
      <c r="A37" s="3">
        <f>IFERROR(__xludf.DUMMYFUNCTION("""COMPUTED_VALUE"""),68.0)</f>
        <v>68</v>
      </c>
      <c r="B37" s="7">
        <f>IFERROR(__xludf.DUMMYFUNCTION("""COMPUTED_VALUE"""),35.0)</f>
        <v>35</v>
      </c>
      <c r="C37" s="3" t="str">
        <f>IFERROR(__xludf.DUMMYFUNCTION("""COMPUTED_VALUE"""),"Неспешно")</f>
        <v>Неспешно</v>
      </c>
      <c r="D37" s="3" t="str">
        <f>IFERROR(__xludf.DUMMYFUNCTION("""COMPUTED_VALUE"""),"Пищаев Дмитрий Владимирович")</f>
        <v>Пищаев Дмитрий Владимирович</v>
      </c>
      <c r="E37" s="3" t="str">
        <f>IFERROR(__xludf.DUMMYFUNCTION("""COMPUTED_VALUE"""),"Кресик Андрей")</f>
        <v>Кресик Андрей</v>
      </c>
      <c r="F37" s="3"/>
      <c r="G37" s="3" t="str">
        <f>IFERROR(__xludf.DUMMYFUNCTION("""COMPUTED_VALUE"""),"подтверждена ")</f>
        <v>подтверждена </v>
      </c>
      <c r="H37" s="5">
        <f>IFERROR(__xludf.DUMMYFUNCTION("""COMPUTED_VALUE"""),0.4722222222222222)</f>
        <v>0.4722222222</v>
      </c>
      <c r="I37" s="6">
        <f>IFERROR(__xludf.DUMMYFUNCTION("""COMPUTED_VALUE"""),44352.0)</f>
        <v>44352</v>
      </c>
      <c r="J37" s="5">
        <f>IFERROR(__xludf.DUMMYFUNCTION("""COMPUTED_VALUE"""),0.8618055555555556)</f>
        <v>0.8618055556</v>
      </c>
      <c r="K37" s="6">
        <f>IFERROR(__xludf.DUMMYFUNCTION("""COMPUTED_VALUE"""),44352.0)</f>
        <v>44352</v>
      </c>
      <c r="L37" s="5">
        <f>IFERROR(__xludf.DUMMYFUNCTION("""COMPUTED_VALUE"""),0.3895833333339801)</f>
        <v>0.3895833333</v>
      </c>
      <c r="M37" s="3"/>
    </row>
    <row r="38">
      <c r="A38" s="3">
        <f>IFERROR(__xludf.DUMMYFUNCTION("""COMPUTED_VALUE"""),81.0)</f>
        <v>81</v>
      </c>
      <c r="B38" s="7">
        <f>IFERROR(__xludf.DUMMYFUNCTION("""COMPUTED_VALUE"""),35.0)</f>
        <v>35</v>
      </c>
      <c r="C38" s="3" t="str">
        <f>IFERROR(__xludf.DUMMYFUNCTION("""COMPUTED_VALUE"""),"Сильные духом")</f>
        <v>Сильные духом</v>
      </c>
      <c r="D38" s="3" t="str">
        <f>IFERROR(__xludf.DUMMYFUNCTION("""COMPUTED_VALUE"""),"Попова Екатерина Сергеевна")</f>
        <v>Попова Екатерина Сергеевна</v>
      </c>
      <c r="E38" s="3" t="str">
        <f>IFERROR(__xludf.DUMMYFUNCTION("""COMPUTED_VALUE"""),"Бикмухаметов Альберт Хасанович")</f>
        <v>Бикмухаметов Альберт Хасанович</v>
      </c>
      <c r="F38" s="3"/>
      <c r="G38" s="3"/>
      <c r="H38" s="5">
        <f>IFERROR(__xludf.DUMMYFUNCTION("""COMPUTED_VALUE"""),0.4722222222222222)</f>
        <v>0.4722222222</v>
      </c>
      <c r="I38" s="6">
        <f>IFERROR(__xludf.DUMMYFUNCTION("""COMPUTED_VALUE"""),44352.0)</f>
        <v>44352</v>
      </c>
      <c r="J38" s="5">
        <f>IFERROR(__xludf.DUMMYFUNCTION("""COMPUTED_VALUE"""),0.8618055555555556)</f>
        <v>0.8618055556</v>
      </c>
      <c r="K38" s="6">
        <f>IFERROR(__xludf.DUMMYFUNCTION("""COMPUTED_VALUE"""),44352.0)</f>
        <v>44352</v>
      </c>
      <c r="L38" s="5">
        <f>IFERROR(__xludf.DUMMYFUNCTION("""COMPUTED_VALUE"""),0.3895833333339801)</f>
        <v>0.3895833333</v>
      </c>
      <c r="M38" s="3"/>
    </row>
    <row r="39">
      <c r="A39" s="3">
        <f>IFERROR(__xludf.DUMMYFUNCTION("""COMPUTED_VALUE"""),51.0)</f>
        <v>51</v>
      </c>
      <c r="B39" s="4">
        <f>IFERROR(__xludf.DUMMYFUNCTION("""COMPUTED_VALUE"""),20.0)</f>
        <v>20</v>
      </c>
      <c r="C39" s="3" t="str">
        <f>IFERROR(__xludf.DUMMYFUNCTION("""COMPUTED_VALUE"""),"Сыроноги")</f>
        <v>Сыроноги</v>
      </c>
      <c r="D39" s="3" t="str">
        <f>IFERROR(__xludf.DUMMYFUNCTION("""COMPUTED_VALUE"""),"Марданов Георгий")</f>
        <v>Марданов Георгий</v>
      </c>
      <c r="E39" s="3" t="str">
        <f>IFERROR(__xludf.DUMMYFUNCTION("""COMPUTED_VALUE"""),"Марданов Тимофей")</f>
        <v>Марданов Тимофей</v>
      </c>
      <c r="F39" s="3" t="str">
        <f>IFERROR(__xludf.DUMMYFUNCTION("""COMPUTED_VALUE"""),"Марданов Василий")</f>
        <v>Марданов Василий</v>
      </c>
      <c r="G39" s="3"/>
      <c r="H39" s="5">
        <f>IFERROR(__xludf.DUMMYFUNCTION("""COMPUTED_VALUE"""),0.3770833333333333)</f>
        <v>0.3770833333</v>
      </c>
      <c r="I39" s="6">
        <f>IFERROR(__xludf.DUMMYFUNCTION("""COMPUTED_VALUE"""),44352.0)</f>
        <v>44352</v>
      </c>
      <c r="J39" s="5">
        <f>IFERROR(__xludf.DUMMYFUNCTION("""COMPUTED_VALUE"""),0.7680555555555556)</f>
        <v>0.7680555556</v>
      </c>
      <c r="K39" s="6">
        <f>IFERROR(__xludf.DUMMYFUNCTION("""COMPUTED_VALUE"""),44352.0)</f>
        <v>44352</v>
      </c>
      <c r="L39" s="5">
        <f>IFERROR(__xludf.DUMMYFUNCTION("""COMPUTED_VALUE"""),0.390972222222869)</f>
        <v>0.3909722222</v>
      </c>
      <c r="M39" s="3"/>
    </row>
    <row r="40">
      <c r="A40" s="3">
        <f>IFERROR(__xludf.DUMMYFUNCTION("""COMPUTED_VALUE"""),70.0)</f>
        <v>70</v>
      </c>
      <c r="B40" s="4">
        <f>IFERROR(__xludf.DUMMYFUNCTION("""COMPUTED_VALUE"""),20.0)</f>
        <v>20</v>
      </c>
      <c r="C40" s="3" t="str">
        <f>IFERROR(__xludf.DUMMYFUNCTION("""COMPUTED_VALUE"""),"Ватуты")</f>
        <v>Ватуты</v>
      </c>
      <c r="D40" s="3" t="str">
        <f>IFERROR(__xludf.DUMMYFUNCTION("""COMPUTED_VALUE"""),"Саяпин Павел Викторович")</f>
        <v>Саяпин Павел Викторович</v>
      </c>
      <c r="E40" s="3" t="str">
        <f>IFERROR(__xludf.DUMMYFUNCTION("""COMPUTED_VALUE"""),"Саяпина Александра Павловна")</f>
        <v>Саяпина Александра Павловна</v>
      </c>
      <c r="F40" s="3" t="str">
        <f>IFERROR(__xludf.DUMMYFUNCTION("""COMPUTED_VALUE"""),"Масленников Артём Романович")</f>
        <v>Масленников Артём Романович</v>
      </c>
      <c r="G40" s="3"/>
      <c r="H40" s="5">
        <f>IFERROR(__xludf.DUMMYFUNCTION("""COMPUTED_VALUE"""),0.3770833333333333)</f>
        <v>0.3770833333</v>
      </c>
      <c r="I40" s="6">
        <f>IFERROR(__xludf.DUMMYFUNCTION("""COMPUTED_VALUE"""),44352.0)</f>
        <v>44352</v>
      </c>
      <c r="J40" s="5">
        <f>IFERROR(__xludf.DUMMYFUNCTION("""COMPUTED_VALUE"""),0.7680555555555556)</f>
        <v>0.7680555556</v>
      </c>
      <c r="K40" s="6">
        <f>IFERROR(__xludf.DUMMYFUNCTION("""COMPUTED_VALUE"""),44352.0)</f>
        <v>44352</v>
      </c>
      <c r="L40" s="5">
        <f>IFERROR(__xludf.DUMMYFUNCTION("""COMPUTED_VALUE"""),0.390972222222869)</f>
        <v>0.3909722222</v>
      </c>
      <c r="M40" s="3"/>
    </row>
    <row r="41">
      <c r="A41" s="3">
        <f>IFERROR(__xludf.DUMMYFUNCTION("""COMPUTED_VALUE"""),93.0)</f>
        <v>93</v>
      </c>
      <c r="B41" s="8">
        <f>IFERROR(__xludf.DUMMYFUNCTION("""COMPUTED_VALUE"""),45.0)</f>
        <v>45</v>
      </c>
      <c r="C41" s="3"/>
      <c r="D41" s="3" t="str">
        <f>IFERROR(__xludf.DUMMYFUNCTION("""COMPUTED_VALUE"""),"Минчаков Роман")</f>
        <v>Минчаков Роман</v>
      </c>
      <c r="E41" s="3" t="str">
        <f>IFERROR(__xludf.DUMMYFUNCTION("""COMPUTED_VALUE"""),"Виталий Егоров")</f>
        <v>Виталий Егоров</v>
      </c>
      <c r="F41" s="3" t="str">
        <f>IFERROR(__xludf.DUMMYFUNCTION("""COMPUTED_VALUE"""),"Александр Еланчик")</f>
        <v>Александр Еланчик</v>
      </c>
      <c r="G41" s="3"/>
      <c r="H41" s="5">
        <f>IFERROR(__xludf.DUMMYFUNCTION("""COMPUTED_VALUE"""),0.47638888888888886)</f>
        <v>0.4763888889</v>
      </c>
      <c r="I41" s="6">
        <f>IFERROR(__xludf.DUMMYFUNCTION("""COMPUTED_VALUE"""),44352.0)</f>
        <v>44352</v>
      </c>
      <c r="J41" s="5">
        <f>IFERROR(__xludf.DUMMYFUNCTION("""COMPUTED_VALUE"""),0.8680555555555556)</f>
        <v>0.8680555556</v>
      </c>
      <c r="K41" s="6">
        <f>IFERROR(__xludf.DUMMYFUNCTION("""COMPUTED_VALUE"""),44352.0)</f>
        <v>44352</v>
      </c>
      <c r="L41" s="5">
        <f>IFERROR(__xludf.DUMMYFUNCTION("""COMPUTED_VALUE"""),0.39166666666585825)</f>
        <v>0.3916666667</v>
      </c>
      <c r="M41" s="3"/>
    </row>
    <row r="42">
      <c r="A42" s="3">
        <f>IFERROR(__xludf.DUMMYFUNCTION("""COMPUTED_VALUE"""),55.0)</f>
        <v>55</v>
      </c>
      <c r="B42" s="8">
        <f>IFERROR(__xludf.DUMMYFUNCTION("""COMPUTED_VALUE"""),45.0)</f>
        <v>45</v>
      </c>
      <c r="C42" s="3" t="str">
        <f>IFERROR(__xludf.DUMMYFUNCTION("""COMPUTED_VALUE"""),"Квики ")</f>
        <v>Квики </v>
      </c>
      <c r="D42" s="3" t="str">
        <f>IFERROR(__xludf.DUMMYFUNCTION("""COMPUTED_VALUE"""),"Муравьева Ладана Александровна")</f>
        <v>Муравьева Ладана Александровна</v>
      </c>
      <c r="E42" s="3"/>
      <c r="F42" s="3"/>
      <c r="G42" s="3" t="str">
        <f>IFERROR(__xludf.DUMMYFUNCTION("""COMPUTED_VALUE"""),"подтверждена ")</f>
        <v>подтверждена </v>
      </c>
      <c r="H42" s="5">
        <f>IFERROR(__xludf.DUMMYFUNCTION("""COMPUTED_VALUE"""),0.3611111111111111)</f>
        <v>0.3611111111</v>
      </c>
      <c r="I42" s="6">
        <f>IFERROR(__xludf.DUMMYFUNCTION("""COMPUTED_VALUE"""),44352.0)</f>
        <v>44352</v>
      </c>
      <c r="J42" s="5">
        <f>IFERROR(__xludf.DUMMYFUNCTION("""COMPUTED_VALUE"""),0.7548611111111111)</f>
        <v>0.7548611111</v>
      </c>
      <c r="K42" s="6">
        <f>IFERROR(__xludf.DUMMYFUNCTION("""COMPUTED_VALUE"""),44352.0)</f>
        <v>44352</v>
      </c>
      <c r="L42" s="5">
        <f>IFERROR(__xludf.DUMMYFUNCTION("""COMPUTED_VALUE"""),0.3937500000012935)</f>
        <v>0.39375</v>
      </c>
      <c r="M42" s="3"/>
    </row>
    <row r="43">
      <c r="A43" s="3">
        <f>IFERROR(__xludf.DUMMYFUNCTION("""COMPUTED_VALUE"""),53.0)</f>
        <v>53</v>
      </c>
      <c r="B43" s="8">
        <f>IFERROR(__xludf.DUMMYFUNCTION("""COMPUTED_VALUE"""),45.0)</f>
        <v>45</v>
      </c>
      <c r="C43" s="3" t="str">
        <f>IFERROR(__xludf.DUMMYFUNCTION("""COMPUTED_VALUE"""),"Тефтели в микроволновке")</f>
        <v>Тефтели в микроволновке</v>
      </c>
      <c r="D43" s="3" t="str">
        <f>IFERROR(__xludf.DUMMYFUNCTION("""COMPUTED_VALUE"""),"Гуськов Максим Владимирович")</f>
        <v>Гуськов Максим Владимирович</v>
      </c>
      <c r="E43" s="3" t="str">
        <f>IFERROR(__xludf.DUMMYFUNCTION("""COMPUTED_VALUE"""),"Сипягин Иоанн")</f>
        <v>Сипягин Иоанн</v>
      </c>
      <c r="F43" s="3" t="str">
        <f>IFERROR(__xludf.DUMMYFUNCTION("""COMPUTED_VALUE"""),"Александр Коваленко")</f>
        <v>Александр Коваленко</v>
      </c>
      <c r="G43" s="3" t="str">
        <f>IFERROR(__xludf.DUMMYFUNCTION("""COMPUTED_VALUE"""),"подтверждена ")</f>
        <v>подтверждена </v>
      </c>
      <c r="H43" s="5">
        <f>IFERROR(__xludf.DUMMYFUNCTION("""COMPUTED_VALUE"""),0.37083333333333335)</f>
        <v>0.3708333333</v>
      </c>
      <c r="I43" s="6">
        <f>IFERROR(__xludf.DUMMYFUNCTION("""COMPUTED_VALUE"""),44352.0)</f>
        <v>44352</v>
      </c>
      <c r="J43" s="5">
        <f>IFERROR(__xludf.DUMMYFUNCTION("""COMPUTED_VALUE"""),0.7694444444444445)</f>
        <v>0.7694444444</v>
      </c>
      <c r="K43" s="6">
        <f>IFERROR(__xludf.DUMMYFUNCTION("""COMPUTED_VALUE"""),44352.0)</f>
        <v>44352</v>
      </c>
      <c r="L43" s="5">
        <f>IFERROR(__xludf.DUMMYFUNCTION("""COMPUTED_VALUE"""),0.39861111110900915)</f>
        <v>0.3986111111</v>
      </c>
      <c r="M43" s="3"/>
    </row>
    <row r="44">
      <c r="A44" s="3">
        <f>IFERROR(__xludf.DUMMYFUNCTION("""COMPUTED_VALUE"""),1.0)</f>
        <v>1</v>
      </c>
      <c r="B44" s="7">
        <f>IFERROR(__xludf.DUMMYFUNCTION("""COMPUTED_VALUE"""),35.0)</f>
        <v>35</v>
      </c>
      <c r="C44" s="3" t="str">
        <f>IFERROR(__xludf.DUMMYFUNCTION("""COMPUTED_VALUE"""),"Zlohobbit")</f>
        <v>Zlohobbit</v>
      </c>
      <c r="D44" s="3" t="str">
        <f>IFERROR(__xludf.DUMMYFUNCTION("""COMPUTED_VALUE"""),"Левин Игорь")</f>
        <v>Левин Игорь</v>
      </c>
      <c r="E44" s="3" t="str">
        <f>IFERROR(__xludf.DUMMYFUNCTION("""COMPUTED_VALUE"""),"Волгин Алексей")</f>
        <v>Волгин Алексей</v>
      </c>
      <c r="F44" s="3"/>
      <c r="G44" s="3" t="str">
        <f>IFERROR(__xludf.DUMMYFUNCTION("""COMPUTED_VALUE"""),"подтверждена ")</f>
        <v>подтверждена </v>
      </c>
      <c r="H44" s="5">
        <f>IFERROR(__xludf.DUMMYFUNCTION("""COMPUTED_VALUE"""),0.4236111111111111)</f>
        <v>0.4236111111</v>
      </c>
      <c r="I44" s="6">
        <f>IFERROR(__xludf.DUMMYFUNCTION("""COMPUTED_VALUE"""),44352.0)</f>
        <v>44352</v>
      </c>
      <c r="J44" s="5">
        <f>IFERROR(__xludf.DUMMYFUNCTION("""COMPUTED_VALUE"""),0.825)</f>
        <v>0.825</v>
      </c>
      <c r="K44" s="6">
        <f>IFERROR(__xludf.DUMMYFUNCTION("""COMPUTED_VALUE"""),44352.0)</f>
        <v>44352</v>
      </c>
      <c r="L44" s="5">
        <f>IFERROR(__xludf.DUMMYFUNCTION("""COMPUTED_VALUE"""),0.4013888888859785)</f>
        <v>0.4013888889</v>
      </c>
      <c r="M44" s="3"/>
    </row>
    <row r="45">
      <c r="A45" s="3">
        <f>IFERROR(__xludf.DUMMYFUNCTION("""COMPUTED_VALUE"""),88.0)</f>
        <v>88</v>
      </c>
      <c r="B45" s="8">
        <f>IFERROR(__xludf.DUMMYFUNCTION("""COMPUTED_VALUE"""),45.0)</f>
        <v>45</v>
      </c>
      <c r="C45" s="3"/>
      <c r="D45" s="3" t="str">
        <f>IFERROR(__xludf.DUMMYFUNCTION("""COMPUTED_VALUE"""),"Володин Антон Юрьевич")</f>
        <v>Володин Антон Юрьевич</v>
      </c>
      <c r="E45" s="3"/>
      <c r="F45" s="3"/>
      <c r="G45" s="3"/>
      <c r="H45" s="9">
        <f>IFERROR(__xludf.DUMMYFUNCTION("""COMPUTED_VALUE"""),0.33194444444444443)</f>
        <v>0.3319444444</v>
      </c>
      <c r="I45" s="6">
        <f>IFERROR(__xludf.DUMMYFUNCTION("""COMPUTED_VALUE"""),44352.0)</f>
        <v>44352</v>
      </c>
      <c r="J45" s="5">
        <f>IFERROR(__xludf.DUMMYFUNCTION("""COMPUTED_VALUE"""),0.7375)</f>
        <v>0.7375</v>
      </c>
      <c r="K45" s="6">
        <f>IFERROR(__xludf.DUMMYFUNCTION("""COMPUTED_VALUE"""),44352.0)</f>
        <v>44352</v>
      </c>
      <c r="L45" s="9">
        <f>IFERROR(__xludf.DUMMYFUNCTION("""COMPUTED_VALUE"""),0.40555555555846595)</f>
        <v>0.4055555556</v>
      </c>
      <c r="M45" s="3"/>
    </row>
    <row r="46">
      <c r="A46" s="3">
        <f>IFERROR(__xludf.DUMMYFUNCTION("""COMPUTED_VALUE"""),65.0)</f>
        <v>65</v>
      </c>
      <c r="B46" s="7">
        <f>IFERROR(__xludf.DUMMYFUNCTION("""COMPUTED_VALUE"""),35.0)</f>
        <v>35</v>
      </c>
      <c r="C46" s="3" t="str">
        <f>IFERROR(__xludf.DUMMYFUNCTION("""COMPUTED_VALUE"""),"Фуражка-Окими")</f>
        <v>Фуражка-Окими</v>
      </c>
      <c r="D46" s="3" t="str">
        <f>IFERROR(__xludf.DUMMYFUNCTION("""COMPUTED_VALUE"""),"Ольга Котляр")</f>
        <v>Ольга Котляр</v>
      </c>
      <c r="E46" s="3" t="str">
        <f>IFERROR(__xludf.DUMMYFUNCTION("""COMPUTED_VALUE"""),"Евгений Котляр")</f>
        <v>Евгений Котляр</v>
      </c>
      <c r="F46" s="3" t="str">
        <f>IFERROR(__xludf.DUMMYFUNCTION("""COMPUTED_VALUE"""),"Антон Гриднев")</f>
        <v>Антон Гриднев</v>
      </c>
      <c r="G46" s="3" t="str">
        <f>IFERROR(__xludf.DUMMYFUNCTION("""COMPUTED_VALUE"""),"подтверждена ")</f>
        <v>подтверждена </v>
      </c>
      <c r="H46" s="5">
        <f>IFERROR(__xludf.DUMMYFUNCTION("""COMPUTED_VALUE"""),0.4534722222222222)</f>
        <v>0.4534722222</v>
      </c>
      <c r="I46" s="6">
        <f>IFERROR(__xludf.DUMMYFUNCTION("""COMPUTED_VALUE"""),44352.0)</f>
        <v>44352</v>
      </c>
      <c r="J46" s="5">
        <f>IFERROR(__xludf.DUMMYFUNCTION("""COMPUTED_VALUE"""),0.8701388888888889)</f>
        <v>0.8701388889</v>
      </c>
      <c r="K46" s="6">
        <f>IFERROR(__xludf.DUMMYFUNCTION("""COMPUTED_VALUE"""),44352.0)</f>
        <v>44352</v>
      </c>
      <c r="L46" s="5">
        <f>IFERROR(__xludf.DUMMYFUNCTION("""COMPUTED_VALUE"""),0.41666666666537316)</f>
        <v>0.4166666667</v>
      </c>
      <c r="M46" s="3"/>
    </row>
    <row r="47">
      <c r="A47" s="3">
        <f>IFERROR(__xludf.DUMMYFUNCTION("""COMPUTED_VALUE"""),74.0)</f>
        <v>74</v>
      </c>
      <c r="B47" s="7">
        <f>IFERROR(__xludf.DUMMYFUNCTION("""COMPUTED_VALUE"""),35.0)</f>
        <v>35</v>
      </c>
      <c r="C47" s="3" t="str">
        <f>IFERROR(__xludf.DUMMYFUNCTION("""COMPUTED_VALUE"""),"Квиддич")</f>
        <v>Квиддич</v>
      </c>
      <c r="D47" s="3" t="str">
        <f>IFERROR(__xludf.DUMMYFUNCTION("""COMPUTED_VALUE"""),"Истомина Ксения Дмитриевна ")</f>
        <v>Истомина Ксения Дмитриевна </v>
      </c>
      <c r="E47" s="3" t="str">
        <f>IFERROR(__xludf.DUMMYFUNCTION("""COMPUTED_VALUE"""),"Эйдельман Александра Борисовна")</f>
        <v>Эйдельман Александра Борисовна</v>
      </c>
      <c r="F47" s="3"/>
      <c r="G47" s="3"/>
      <c r="H47" s="5">
        <f>IFERROR(__xludf.DUMMYFUNCTION("""COMPUTED_VALUE"""),0.4340277777777778)</f>
        <v>0.4340277778</v>
      </c>
      <c r="I47" s="6">
        <f>IFERROR(__xludf.DUMMYFUNCTION("""COMPUTED_VALUE"""),44352.0)</f>
        <v>44352</v>
      </c>
      <c r="J47" s="5">
        <f>IFERROR(__xludf.DUMMYFUNCTION("""COMPUTED_VALUE"""),0.8583333333333333)</f>
        <v>0.8583333333</v>
      </c>
      <c r="K47" s="6">
        <f>IFERROR(__xludf.DUMMYFUNCTION("""COMPUTED_VALUE"""),44352.0)</f>
        <v>44352</v>
      </c>
      <c r="L47" s="5">
        <f>IFERROR(__xludf.DUMMYFUNCTION("""COMPUTED_VALUE"""),0.4243055555521601)</f>
        <v>0.4243055556</v>
      </c>
      <c r="M47" s="3"/>
    </row>
    <row r="48">
      <c r="A48" s="3">
        <f>IFERROR(__xludf.DUMMYFUNCTION("""COMPUTED_VALUE"""),83.0)</f>
        <v>83</v>
      </c>
      <c r="B48" s="7">
        <f>IFERROR(__xludf.DUMMYFUNCTION("""COMPUTED_VALUE"""),35.0)</f>
        <v>35</v>
      </c>
      <c r="C48" s="3" t="str">
        <f>IFERROR(__xludf.DUMMYFUNCTION("""COMPUTED_VALUE"""),"Владимир")</f>
        <v>Владимир</v>
      </c>
      <c r="D48" s="3" t="str">
        <f>IFERROR(__xludf.DUMMYFUNCTION("""COMPUTED_VALUE"""),"Гуськов Владимир")</f>
        <v>Гуськов Владимир</v>
      </c>
      <c r="E48" s="3"/>
      <c r="F48" s="3"/>
      <c r="G48" s="3"/>
      <c r="H48" s="5">
        <f>IFERROR(__xludf.DUMMYFUNCTION("""COMPUTED_VALUE"""),0.3798611111111111)</f>
        <v>0.3798611111</v>
      </c>
      <c r="I48" s="6">
        <f>IFERROR(__xludf.DUMMYFUNCTION("""COMPUTED_VALUE"""),44352.0)</f>
        <v>44352</v>
      </c>
      <c r="J48" s="5">
        <f>IFERROR(__xludf.DUMMYFUNCTION("""COMPUTED_VALUE"""),0.8104166666666667)</f>
        <v>0.8104166667</v>
      </c>
      <c r="K48" s="6">
        <f>IFERROR(__xludf.DUMMYFUNCTION("""COMPUTED_VALUE"""),44352.0)</f>
        <v>44352</v>
      </c>
      <c r="L48" s="5">
        <f>IFERROR(__xludf.DUMMYFUNCTION("""COMPUTED_VALUE"""),0.43055555555604064)</f>
        <v>0.4305555556</v>
      </c>
      <c r="M48" s="3"/>
    </row>
    <row r="49">
      <c r="A49" s="3">
        <f>IFERROR(__xludf.DUMMYFUNCTION("""COMPUTED_VALUE"""),9.0)</f>
        <v>9</v>
      </c>
      <c r="B49" s="8">
        <f>IFERROR(__xludf.DUMMYFUNCTION("""COMPUTED_VALUE"""),45.0)</f>
        <v>45</v>
      </c>
      <c r="C49" s="3" t="str">
        <f>IFERROR(__xludf.DUMMYFUNCTION("""COMPUTED_VALUE"""),"[oh] Zdvig")</f>
        <v>[oh] Zdvig</v>
      </c>
      <c r="D49" s="3" t="str">
        <f>IFERROR(__xludf.DUMMYFUNCTION("""COMPUTED_VALUE"""),"Моисеев Роман Александрович")</f>
        <v>Моисеев Роман Александрович</v>
      </c>
      <c r="E49" s="3"/>
      <c r="F49" s="3"/>
      <c r="G49" s="3" t="str">
        <f>IFERROR(__xludf.DUMMYFUNCTION("""COMPUTED_VALUE"""),"подтверждена ")</f>
        <v>подтверждена </v>
      </c>
      <c r="H49" s="5">
        <f>IFERROR(__xludf.DUMMYFUNCTION("""COMPUTED_VALUE"""),0.30694444444444446)</f>
        <v>0.3069444444</v>
      </c>
      <c r="I49" s="6">
        <f>IFERROR(__xludf.DUMMYFUNCTION("""COMPUTED_VALUE"""),44352.0)</f>
        <v>44352</v>
      </c>
      <c r="J49" s="5">
        <f>IFERROR(__xludf.DUMMYFUNCTION("""COMPUTED_VALUE"""),0.7444444444444445)</f>
        <v>0.7444444444</v>
      </c>
      <c r="K49" s="6">
        <f>IFERROR(__xludf.DUMMYFUNCTION("""COMPUTED_VALUE"""),44352.0)</f>
        <v>44352</v>
      </c>
      <c r="L49" s="5">
        <f>IFERROR(__xludf.DUMMYFUNCTION("""COMPUTED_VALUE"""),0.43749999999644285)</f>
        <v>0.4375</v>
      </c>
      <c r="M49" s="3"/>
    </row>
    <row r="50">
      <c r="A50" s="3">
        <f>IFERROR(__xludf.DUMMYFUNCTION("""COMPUTED_VALUE"""),32.0)</f>
        <v>32</v>
      </c>
      <c r="B50" s="8">
        <f>IFERROR(__xludf.DUMMYFUNCTION("""COMPUTED_VALUE"""),45.0)</f>
        <v>45</v>
      </c>
      <c r="C50" s="3" t="str">
        <f>IFERROR(__xludf.DUMMYFUNCTION("""COMPUTED_VALUE"""),"Передачу Пониже")</f>
        <v>Передачу Пониже</v>
      </c>
      <c r="D50" s="3" t="str">
        <f>IFERROR(__xludf.DUMMYFUNCTION("""COMPUTED_VALUE"""),"Гаврилова Евгения")</f>
        <v>Гаврилова Евгения</v>
      </c>
      <c r="E50" s="3"/>
      <c r="F50" s="3"/>
      <c r="G50" s="3" t="str">
        <f>IFERROR(__xludf.DUMMYFUNCTION("""COMPUTED_VALUE"""),"подтверждена ")</f>
        <v>подтверждена </v>
      </c>
      <c r="H50" s="5">
        <f>IFERROR(__xludf.DUMMYFUNCTION("""COMPUTED_VALUE"""),0.4847222222222222)</f>
        <v>0.4847222222</v>
      </c>
      <c r="I50" s="6">
        <f>IFERROR(__xludf.DUMMYFUNCTION("""COMPUTED_VALUE"""),44352.0)</f>
        <v>44352</v>
      </c>
      <c r="J50" s="5">
        <f>IFERROR(__xludf.DUMMYFUNCTION("""COMPUTED_VALUE"""),0.9236111111111112)</f>
        <v>0.9236111111</v>
      </c>
      <c r="K50" s="6">
        <f>IFERROR(__xludf.DUMMYFUNCTION("""COMPUTED_VALUE"""),44352.0)</f>
        <v>44352</v>
      </c>
      <c r="L50" s="5">
        <f>IFERROR(__xludf.DUMMYFUNCTION("""COMPUTED_VALUE"""),0.438888888887272)</f>
        <v>0.4388888889</v>
      </c>
      <c r="M50" s="3"/>
    </row>
    <row r="51">
      <c r="A51" s="3">
        <f>IFERROR(__xludf.DUMMYFUNCTION("""COMPUTED_VALUE"""),6.0)</f>
        <v>6</v>
      </c>
      <c r="B51" s="7">
        <f>IFERROR(__xludf.DUMMYFUNCTION("""COMPUTED_VALUE"""),35.0)</f>
        <v>35</v>
      </c>
      <c r="C51" s="3" t="str">
        <f>IFERROR(__xludf.DUMMYFUNCTION("""COMPUTED_VALUE"""),"Команда 47")</f>
        <v>Команда 47</v>
      </c>
      <c r="D51" s="3" t="str">
        <f>IFERROR(__xludf.DUMMYFUNCTION("""COMPUTED_VALUE"""),"Глазунов Михаил Константинович")</f>
        <v>Глазунов Михаил Константинович</v>
      </c>
      <c r="E51" s="3" t="str">
        <f>IFERROR(__xludf.DUMMYFUNCTION("""COMPUTED_VALUE"""),"Лилия")</f>
        <v>Лилия</v>
      </c>
      <c r="F51" s="3" t="str">
        <f>IFERROR(__xludf.DUMMYFUNCTION("""COMPUTED_VALUE"""),"Александр")</f>
        <v>Александр</v>
      </c>
      <c r="G51" s="3" t="str">
        <f>IFERROR(__xludf.DUMMYFUNCTION("""COMPUTED_VALUE"""),"подтверждена ")</f>
        <v>подтверждена </v>
      </c>
      <c r="H51" s="5">
        <f>IFERROR(__xludf.DUMMYFUNCTION("""COMPUTED_VALUE"""),0.5069444444444444)</f>
        <v>0.5069444444</v>
      </c>
      <c r="I51" s="6">
        <f>IFERROR(__xludf.DUMMYFUNCTION("""COMPUTED_VALUE"""),44352.0)</f>
        <v>44352</v>
      </c>
      <c r="J51" s="5">
        <f>IFERROR(__xludf.DUMMYFUNCTION("""COMPUTED_VALUE"""),0.9513888888888888)</f>
        <v>0.9513888889</v>
      </c>
      <c r="K51" s="6">
        <f>IFERROR(__xludf.DUMMYFUNCTION("""COMPUTED_VALUE"""),44352.0)</f>
        <v>44352</v>
      </c>
      <c r="L51" s="5">
        <f>IFERROR(__xludf.DUMMYFUNCTION("""COMPUTED_VALUE"""),0.44444444444606135)</f>
        <v>0.4444444444</v>
      </c>
      <c r="M51" s="3"/>
    </row>
    <row r="52">
      <c r="A52" s="3">
        <f>IFERROR(__xludf.DUMMYFUNCTION("""COMPUTED_VALUE"""),13.0)</f>
        <v>13</v>
      </c>
      <c r="B52" s="8">
        <f>IFERROR(__xludf.DUMMYFUNCTION("""COMPUTED_VALUE"""),45.0)</f>
        <v>45</v>
      </c>
      <c r="C52" s="3" t="str">
        <f>IFERROR(__xludf.DUMMYFUNCTION("""COMPUTED_VALUE"""),"ватрУшка")</f>
        <v>ватрУшка</v>
      </c>
      <c r="D52" s="3" t="str">
        <f>IFERROR(__xludf.DUMMYFUNCTION("""COMPUTED_VALUE"""),"Назаров Николай Иванович")</f>
        <v>Назаров Николай Иванович</v>
      </c>
      <c r="E52" s="3" t="str">
        <f>IFERROR(__xludf.DUMMYFUNCTION("""COMPUTED_VALUE"""),"Руденко Ольга Витальевна")</f>
        <v>Руденко Ольга Витальевна</v>
      </c>
      <c r="F52" s="3"/>
      <c r="G52" s="3" t="str">
        <f>IFERROR(__xludf.DUMMYFUNCTION("""COMPUTED_VALUE"""),"подтверждена ")</f>
        <v>подтверждена </v>
      </c>
      <c r="H52" s="5">
        <f>IFERROR(__xludf.DUMMYFUNCTION("""COMPUTED_VALUE"""),0.4166666666666667)</f>
        <v>0.4166666667</v>
      </c>
      <c r="I52" s="6">
        <f>IFERROR(__xludf.DUMMYFUNCTION("""COMPUTED_VALUE"""),44352.0)</f>
        <v>44352</v>
      </c>
      <c r="J52" s="5">
        <f>IFERROR(__xludf.DUMMYFUNCTION("""COMPUTED_VALUE"""),0.8625)</f>
        <v>0.8625</v>
      </c>
      <c r="K52" s="6">
        <f>IFERROR(__xludf.DUMMYFUNCTION("""COMPUTED_VALUE"""),44352.0)</f>
        <v>44352</v>
      </c>
      <c r="L52" s="5">
        <f>IFERROR(__xludf.DUMMYFUNCTION("""COMPUTED_VALUE"""),0.4458333333362437)</f>
        <v>0.4458333333</v>
      </c>
      <c r="M52" s="3"/>
    </row>
    <row r="53">
      <c r="A53" s="3">
        <f>IFERROR(__xludf.DUMMYFUNCTION("""COMPUTED_VALUE"""),35.0)</f>
        <v>35</v>
      </c>
      <c r="B53" s="10">
        <f>IFERROR(__xludf.DUMMYFUNCTION("""COMPUTED_VALUE"""),65.0)</f>
        <v>65</v>
      </c>
      <c r="C53" s="3" t="str">
        <f>IFERROR(__xludf.DUMMYFUNCTION("""COMPUTED_VALUE"""),"Polkeda")</f>
        <v>Polkeda</v>
      </c>
      <c r="D53" s="3" t="str">
        <f>IFERROR(__xludf.DUMMYFUNCTION("""COMPUTED_VALUE"""),"Строганов Александр Аркадьевич")</f>
        <v>Строганов Александр Аркадьевич</v>
      </c>
      <c r="E53" s="3"/>
      <c r="F53" s="3"/>
      <c r="G53" s="3" t="str">
        <f>IFERROR(__xludf.DUMMYFUNCTION("""COMPUTED_VALUE"""),"подтверждена ")</f>
        <v>подтверждена </v>
      </c>
      <c r="H53" s="5">
        <f>IFERROR(__xludf.DUMMYFUNCTION("""COMPUTED_VALUE"""),0.30416666666666664)</f>
        <v>0.3041666667</v>
      </c>
      <c r="I53" s="6">
        <f>IFERROR(__xludf.DUMMYFUNCTION("""COMPUTED_VALUE"""),44352.0)</f>
        <v>44352</v>
      </c>
      <c r="J53" s="5">
        <f>IFERROR(__xludf.DUMMYFUNCTION("""COMPUTED_VALUE"""),0.7513888888888889)</f>
        <v>0.7513888889</v>
      </c>
      <c r="K53" s="6">
        <f>IFERROR(__xludf.DUMMYFUNCTION("""COMPUTED_VALUE"""),44352.0)</f>
        <v>44352</v>
      </c>
      <c r="L53" s="5">
        <f>IFERROR(__xludf.DUMMYFUNCTION("""COMPUTED_VALUE"""),0.44722222221947355)</f>
        <v>0.4472222222</v>
      </c>
      <c r="M53" s="3"/>
    </row>
    <row r="54">
      <c r="A54" s="3">
        <f>IFERROR(__xludf.DUMMYFUNCTION("""COMPUTED_VALUE"""),91.0)</f>
        <v>91</v>
      </c>
      <c r="B54" s="7">
        <f>IFERROR(__xludf.DUMMYFUNCTION("""COMPUTED_VALUE"""),35.0)</f>
        <v>35</v>
      </c>
      <c r="C54" s="3" t="str">
        <f>IFERROR(__xludf.DUMMYFUNCTION("""COMPUTED_VALUE"""),"Офисный планктон")</f>
        <v>Офисный планктон</v>
      </c>
      <c r="D54" s="3" t="str">
        <f>IFERROR(__xludf.DUMMYFUNCTION("""COMPUTED_VALUE"""),"Соколов Алексей Викторович")</f>
        <v>Соколов Алексей Викторович</v>
      </c>
      <c r="E54" s="3" t="str">
        <f>IFERROR(__xludf.DUMMYFUNCTION("""COMPUTED_VALUE"""),"Соколова Юлия Юрьевна")</f>
        <v>Соколова Юлия Юрьевна</v>
      </c>
      <c r="F54" s="3"/>
      <c r="G54" s="3" t="str">
        <f>IFERROR(__xludf.DUMMYFUNCTION("""COMPUTED_VALUE"""),"подтверждена ")</f>
        <v>подтверждена </v>
      </c>
      <c r="H54" s="5">
        <f>IFERROR(__xludf.DUMMYFUNCTION("""COMPUTED_VALUE"""),0.4583333333333333)</f>
        <v>0.4583333333</v>
      </c>
      <c r="I54" s="6">
        <f>IFERROR(__xludf.DUMMYFUNCTION("""COMPUTED_VALUE"""),44352.0)</f>
        <v>44352</v>
      </c>
      <c r="J54" s="5">
        <f>IFERROR(__xludf.DUMMYFUNCTION("""COMPUTED_VALUE"""),0.9083333333333333)</f>
        <v>0.9083333333</v>
      </c>
      <c r="K54" s="6">
        <f>IFERROR(__xludf.DUMMYFUNCTION("""COMPUTED_VALUE"""),44352.0)</f>
        <v>44352</v>
      </c>
      <c r="L54" s="5">
        <f>IFERROR(__xludf.DUMMYFUNCTION("""COMPUTED_VALUE"""),0.44999999999951495)</f>
        <v>0.45</v>
      </c>
      <c r="M54" s="3"/>
    </row>
    <row r="55">
      <c r="A55" s="3">
        <f>IFERROR(__xludf.DUMMYFUNCTION("""COMPUTED_VALUE"""),79.0)</f>
        <v>79</v>
      </c>
      <c r="B55" s="7">
        <f>IFERROR(__xludf.DUMMYFUNCTION("""COMPUTED_VALUE"""),35.0)</f>
        <v>35</v>
      </c>
      <c r="C55" s="3" t="str">
        <f>IFERROR(__xludf.DUMMYFUNCTION("""COMPUTED_VALUE"""),"Ежики в берлоге")</f>
        <v>Ежики в берлоге</v>
      </c>
      <c r="D55" s="3" t="str">
        <f>IFERROR(__xludf.DUMMYFUNCTION("""COMPUTED_VALUE"""),"Веселов Ярослав Васильевич")</f>
        <v>Веселов Ярослав Васильевич</v>
      </c>
      <c r="E55" s="3" t="str">
        <f>IFERROR(__xludf.DUMMYFUNCTION("""COMPUTED_VALUE"""),"Веселова Екатерина Сергеевна")</f>
        <v>Веселова Екатерина Сергеевна</v>
      </c>
      <c r="F55" s="3"/>
      <c r="G55" s="3" t="str">
        <f>IFERROR(__xludf.DUMMYFUNCTION("""COMPUTED_VALUE"""),"подтверждена ")</f>
        <v>подтверждена </v>
      </c>
      <c r="H55" s="5">
        <f>IFERROR(__xludf.DUMMYFUNCTION("""COMPUTED_VALUE"""),0.325)</f>
        <v>0.325</v>
      </c>
      <c r="I55" s="6">
        <f>IFERROR(__xludf.DUMMYFUNCTION("""COMPUTED_VALUE"""),44352.0)</f>
        <v>44352</v>
      </c>
      <c r="J55" s="5">
        <f>IFERROR(__xludf.DUMMYFUNCTION("""COMPUTED_VALUE"""),0.7777777777777778)</f>
        <v>0.7777777778</v>
      </c>
      <c r="K55" s="6">
        <f>IFERROR(__xludf.DUMMYFUNCTION("""COMPUTED_VALUE"""),44352.0)</f>
        <v>44352</v>
      </c>
      <c r="L55" s="5">
        <f>IFERROR(__xludf.DUMMYFUNCTION("""COMPUTED_VALUE"""),0.4527777777810115)</f>
        <v>0.4527777778</v>
      </c>
      <c r="M55" s="3"/>
    </row>
    <row r="56">
      <c r="A56" s="3">
        <f>IFERROR(__xludf.DUMMYFUNCTION("""COMPUTED_VALUE"""),60.0)</f>
        <v>60</v>
      </c>
      <c r="B56" s="10">
        <f>IFERROR(__xludf.DUMMYFUNCTION("""COMPUTED_VALUE"""),65.0)</f>
        <v>65</v>
      </c>
      <c r="C56" s="3"/>
      <c r="D56" s="3" t="str">
        <f>IFERROR(__xludf.DUMMYFUNCTION("""COMPUTED_VALUE"""),"Иванов Андрей")</f>
        <v>Иванов Андрей</v>
      </c>
      <c r="E56" s="3"/>
      <c r="F56" s="3"/>
      <c r="G56" s="3" t="str">
        <f>IFERROR(__xludf.DUMMYFUNCTION("""COMPUTED_VALUE"""),"подтверждена ")</f>
        <v>подтверждена </v>
      </c>
      <c r="H56" s="5">
        <f>IFERROR(__xludf.DUMMYFUNCTION("""COMPUTED_VALUE"""),0.42430555555555555)</f>
        <v>0.4243055556</v>
      </c>
      <c r="I56" s="6">
        <f>IFERROR(__xludf.DUMMYFUNCTION("""COMPUTED_VALUE"""),44352.0)</f>
        <v>44352</v>
      </c>
      <c r="J56" s="5">
        <f>IFERROR(__xludf.DUMMYFUNCTION("""COMPUTED_VALUE"""),0.8819444444444444)</f>
        <v>0.8819444444</v>
      </c>
      <c r="K56" s="6">
        <f>IFERROR(__xludf.DUMMYFUNCTION("""COMPUTED_VALUE"""),44352.0)</f>
        <v>44352</v>
      </c>
      <c r="L56" s="5">
        <f>IFERROR(__xludf.DUMMYFUNCTION("""COMPUTED_VALUE"""),0.45763888888969734)</f>
        <v>0.4576388889</v>
      </c>
      <c r="M56" s="3"/>
    </row>
    <row r="57">
      <c r="A57" s="3">
        <f>IFERROR(__xludf.DUMMYFUNCTION("""COMPUTED_VALUE"""),80.0)</f>
        <v>80</v>
      </c>
      <c r="B57" s="8">
        <f>IFERROR(__xludf.DUMMYFUNCTION("""COMPUTED_VALUE"""),45.0)</f>
        <v>45</v>
      </c>
      <c r="C57" s="3"/>
      <c r="D57" s="3" t="str">
        <f>IFERROR(__xludf.DUMMYFUNCTION("""COMPUTED_VALUE"""),"Самородов Михаил Юрьевич")</f>
        <v>Самородов Михаил Юрьевич</v>
      </c>
      <c r="E57" s="3"/>
      <c r="F57" s="3"/>
      <c r="G57" s="3" t="str">
        <f>IFERROR(__xludf.DUMMYFUNCTION("""COMPUTED_VALUE"""),"подтверждена ")</f>
        <v>подтверждена </v>
      </c>
      <c r="H57" s="5">
        <f>IFERROR(__xludf.DUMMYFUNCTION("""COMPUTED_VALUE"""),0.2923611111111111)</f>
        <v>0.2923611111</v>
      </c>
      <c r="I57" s="6">
        <f>IFERROR(__xludf.DUMMYFUNCTION("""COMPUTED_VALUE"""),44352.0)</f>
        <v>44352</v>
      </c>
      <c r="J57" s="5">
        <f>IFERROR(__xludf.DUMMYFUNCTION("""COMPUTED_VALUE"""),0.7513888888888889)</f>
        <v>0.7513888889</v>
      </c>
      <c r="K57" s="6">
        <f>IFERROR(__xludf.DUMMYFUNCTION("""COMPUTED_VALUE"""),44352.0)</f>
        <v>44352</v>
      </c>
      <c r="L57" s="5">
        <f>IFERROR(__xludf.DUMMYFUNCTION("""COMPUTED_VALUE"""),0.45902777777502907)</f>
        <v>0.4590277778</v>
      </c>
      <c r="M57" s="3"/>
    </row>
    <row r="58">
      <c r="A58" s="3">
        <f>IFERROR(__xludf.DUMMYFUNCTION("""COMPUTED_VALUE"""),12.0)</f>
        <v>12</v>
      </c>
      <c r="B58" s="8">
        <f>IFERROR(__xludf.DUMMYFUNCTION("""COMPUTED_VALUE"""),45.0)</f>
        <v>45</v>
      </c>
      <c r="C58" s="3" t="str">
        <f>IFERROR(__xludf.DUMMYFUNCTION("""COMPUTED_VALUE"""),"Тихоходы")</f>
        <v>Тихоходы</v>
      </c>
      <c r="D58" s="3" t="str">
        <f>IFERROR(__xludf.DUMMYFUNCTION("""COMPUTED_VALUE"""),"Данилов Руслан Владимирович")</f>
        <v>Данилов Руслан Владимирович</v>
      </c>
      <c r="E58" s="3"/>
      <c r="F58" s="3"/>
      <c r="G58" s="3" t="str">
        <f>IFERROR(__xludf.DUMMYFUNCTION("""COMPUTED_VALUE"""),"подтверждена ")</f>
        <v>подтверждена </v>
      </c>
      <c r="H58" s="5">
        <f>IFERROR(__xludf.DUMMYFUNCTION("""COMPUTED_VALUE"""),0.3347222222222222)</f>
        <v>0.3347222222</v>
      </c>
      <c r="I58" s="6">
        <f>IFERROR(__xludf.DUMMYFUNCTION("""COMPUTED_VALUE"""),44352.0)</f>
        <v>44352</v>
      </c>
      <c r="J58" s="5">
        <f>IFERROR(__xludf.DUMMYFUNCTION("""COMPUTED_VALUE"""),0.8090277777777778)</f>
        <v>0.8090277778</v>
      </c>
      <c r="K58" s="6">
        <f>IFERROR(__xludf.DUMMYFUNCTION("""COMPUTED_VALUE"""),44352.0)</f>
        <v>44352</v>
      </c>
      <c r="L58" s="5">
        <f>IFERROR(__xludf.DUMMYFUNCTION("""COMPUTED_VALUE"""),0.47430555555878934)</f>
        <v>0.4743055556</v>
      </c>
      <c r="M58" s="3"/>
    </row>
    <row r="59">
      <c r="A59" s="3">
        <f>IFERROR(__xludf.DUMMYFUNCTION("""COMPUTED_VALUE"""),59.0)</f>
        <v>59</v>
      </c>
      <c r="B59" s="7">
        <f>IFERROR(__xludf.DUMMYFUNCTION("""COMPUTED_VALUE"""),35.0)</f>
        <v>35</v>
      </c>
      <c r="C59" s="3" t="str">
        <f>IFERROR(__xludf.DUMMYFUNCTION("""COMPUTED_VALUE"""),"Семейка")</f>
        <v>Семейка</v>
      </c>
      <c r="D59" s="3" t="str">
        <f>IFERROR(__xludf.DUMMYFUNCTION("""COMPUTED_VALUE"""),"Беляева Ольга ")</f>
        <v>Беляева Ольга </v>
      </c>
      <c r="E59" s="3" t="str">
        <f>IFERROR(__xludf.DUMMYFUNCTION("""COMPUTED_VALUE"""),"Тупицын  Александр ")</f>
        <v>Тупицын  Александр </v>
      </c>
      <c r="F59" s="3" t="str">
        <f>IFERROR(__xludf.DUMMYFUNCTION("""COMPUTED_VALUE"""),"Беляев Михаил ")</f>
        <v>Беляев Михаил </v>
      </c>
      <c r="G59" s="3" t="str">
        <f>IFERROR(__xludf.DUMMYFUNCTION("""COMPUTED_VALUE"""),"подтверждена ")</f>
        <v>подтверждена </v>
      </c>
      <c r="H59" s="5">
        <f>IFERROR(__xludf.DUMMYFUNCTION("""COMPUTED_VALUE"""),0.3659722222222222)</f>
        <v>0.3659722222</v>
      </c>
      <c r="I59" s="6">
        <f>IFERROR(__xludf.DUMMYFUNCTION("""COMPUTED_VALUE"""),44352.0)</f>
        <v>44352</v>
      </c>
      <c r="J59" s="5">
        <f>IFERROR(__xludf.DUMMYFUNCTION("""COMPUTED_VALUE"""),0.8513888888888889)</f>
        <v>0.8513888889</v>
      </c>
      <c r="K59" s="6">
        <f>IFERROR(__xludf.DUMMYFUNCTION("""COMPUTED_VALUE"""),44352.0)</f>
        <v>44352</v>
      </c>
      <c r="L59" s="5">
        <f>IFERROR(__xludf.DUMMYFUNCTION("""COMPUTED_VALUE"""),0.48541666666973876)</f>
        <v>0.4854166667</v>
      </c>
      <c r="M59" s="3"/>
    </row>
    <row r="60">
      <c r="A60" s="3">
        <f>IFERROR(__xludf.DUMMYFUNCTION("""COMPUTED_VALUE"""),69.0)</f>
        <v>69</v>
      </c>
      <c r="B60" s="8">
        <f>IFERROR(__xludf.DUMMYFUNCTION("""COMPUTED_VALUE"""),45.0)</f>
        <v>45</v>
      </c>
      <c r="C60" s="3"/>
      <c r="D60" s="3" t="str">
        <f>IFERROR(__xludf.DUMMYFUNCTION("""COMPUTED_VALUE"""),"Куликов Егор Юрьевич")</f>
        <v>Куликов Егор Юрьевич</v>
      </c>
      <c r="E60" s="3"/>
      <c r="F60" s="3"/>
      <c r="G60" s="3" t="str">
        <f>IFERROR(__xludf.DUMMYFUNCTION("""COMPUTED_VALUE"""),"подтверждена ")</f>
        <v>подтверждена </v>
      </c>
      <c r="H60" s="5">
        <f>IFERROR(__xludf.DUMMYFUNCTION("""COMPUTED_VALUE"""),0.3861111111111111)</f>
        <v>0.3861111111</v>
      </c>
      <c r="I60" s="6">
        <f>IFERROR(__xludf.DUMMYFUNCTION("""COMPUTED_VALUE"""),44352.0)</f>
        <v>44352</v>
      </c>
      <c r="J60" s="5">
        <f>IFERROR(__xludf.DUMMYFUNCTION("""COMPUTED_VALUE"""),0.8902777777777777)</f>
        <v>0.8902777778</v>
      </c>
      <c r="K60" s="6">
        <f>IFERROR(__xludf.DUMMYFUNCTION("""COMPUTED_VALUE"""),44352.0)</f>
        <v>44352</v>
      </c>
      <c r="L60" s="5">
        <f>IFERROR(__xludf.DUMMYFUNCTION("""COMPUTED_VALUE"""),0.5041666666655349)</f>
        <v>0.5041666667</v>
      </c>
      <c r="M60" s="3"/>
    </row>
    <row r="61">
      <c r="A61" s="3">
        <f>IFERROR(__xludf.DUMMYFUNCTION("""COMPUTED_VALUE"""),84.0)</f>
        <v>84</v>
      </c>
      <c r="B61" s="8">
        <f>IFERROR(__xludf.DUMMYFUNCTION("""COMPUTED_VALUE"""),45.0)</f>
        <v>45</v>
      </c>
      <c r="C61" s="3" t="str">
        <f>IFERROR(__xludf.DUMMYFUNCTION("""COMPUTED_VALUE"""),"Иду один")</f>
        <v>Иду один</v>
      </c>
      <c r="D61" s="3" t="str">
        <f>IFERROR(__xludf.DUMMYFUNCTION("""COMPUTED_VALUE"""),"Храпов Артём Дмитриевич")</f>
        <v>Храпов Артём Дмитриевич</v>
      </c>
      <c r="E61" s="3"/>
      <c r="F61" s="3"/>
      <c r="G61" s="3"/>
      <c r="H61" s="5">
        <f>IFERROR(__xludf.DUMMYFUNCTION("""COMPUTED_VALUE"""),0.3861111111111111)</f>
        <v>0.3861111111</v>
      </c>
      <c r="I61" s="6">
        <f>IFERROR(__xludf.DUMMYFUNCTION("""COMPUTED_VALUE"""),44352.0)</f>
        <v>44352</v>
      </c>
      <c r="J61" s="5">
        <f>IFERROR(__xludf.DUMMYFUNCTION("""COMPUTED_VALUE"""),0.8916666666666667)</f>
        <v>0.8916666667</v>
      </c>
      <c r="K61" s="6">
        <f>IFERROR(__xludf.DUMMYFUNCTION("""COMPUTED_VALUE"""),44352.0)</f>
        <v>44352</v>
      </c>
      <c r="L61" s="5">
        <f>IFERROR(__xludf.DUMMYFUNCTION("""COMPUTED_VALUE"""),0.505555555558951)</f>
        <v>0.5055555556</v>
      </c>
      <c r="M61" s="3"/>
    </row>
    <row r="62">
      <c r="A62" s="3">
        <f>IFERROR(__xludf.DUMMYFUNCTION("""COMPUTED_VALUE"""),30.0)</f>
        <v>30</v>
      </c>
      <c r="B62" s="10">
        <f>IFERROR(__xludf.DUMMYFUNCTION("""COMPUTED_VALUE"""),65.0)</f>
        <v>65</v>
      </c>
      <c r="C62" s="3" t="str">
        <f>IFERROR(__xludf.DUMMYFUNCTION("""COMPUTED_VALUE"""),"Маршал")</f>
        <v>Маршал</v>
      </c>
      <c r="D62" s="3" t="str">
        <f>IFERROR(__xludf.DUMMYFUNCTION("""COMPUTED_VALUE"""),"Андреев Максим Андревич")</f>
        <v>Андреев Максим Андревич</v>
      </c>
      <c r="E62" s="3"/>
      <c r="F62" s="3"/>
      <c r="G62" s="3" t="str">
        <f>IFERROR(__xludf.DUMMYFUNCTION("""COMPUTED_VALUE"""),"подтверждена ")</f>
        <v>подтверждена </v>
      </c>
      <c r="H62" s="5">
        <f>IFERROR(__xludf.DUMMYFUNCTION("""COMPUTED_VALUE"""),0.30416666666666664)</f>
        <v>0.3041666667</v>
      </c>
      <c r="I62" s="6">
        <f>IFERROR(__xludf.DUMMYFUNCTION("""COMPUTED_VALUE"""),44352.0)</f>
        <v>44352</v>
      </c>
      <c r="J62" s="5">
        <f>IFERROR(__xludf.DUMMYFUNCTION("""COMPUTED_VALUE"""),0.8222222222222222)</f>
        <v>0.8222222222</v>
      </c>
      <c r="K62" s="6">
        <f>IFERROR(__xludf.DUMMYFUNCTION("""COMPUTED_VALUE"""),44352.0)</f>
        <v>44352</v>
      </c>
      <c r="L62" s="5">
        <f>IFERROR(__xludf.DUMMYFUNCTION("""COMPUTED_VALUE"""),0.5180555555581425)</f>
        <v>0.5180555556</v>
      </c>
      <c r="M62" s="3"/>
    </row>
    <row r="63">
      <c r="A63" s="3">
        <f>IFERROR(__xludf.DUMMYFUNCTION("""COMPUTED_VALUE"""),94.0)</f>
        <v>94</v>
      </c>
      <c r="B63" s="8">
        <f>IFERROR(__xludf.DUMMYFUNCTION("""COMPUTED_VALUE"""),45.0)</f>
        <v>45</v>
      </c>
      <c r="C63" s="3" t="str">
        <f>IFERROR(__xludf.DUMMYFUNCTION("""COMPUTED_VALUE"""),"Маятниковые миграции")</f>
        <v>Маятниковые миграции</v>
      </c>
      <c r="D63" s="3" t="str">
        <f>IFERROR(__xludf.DUMMYFUNCTION("""COMPUTED_VALUE"""),"Кирилл")</f>
        <v>Кирилл</v>
      </c>
      <c r="E63" s="3" t="str">
        <f>IFERROR(__xludf.DUMMYFUNCTION("""COMPUTED_VALUE"""),"Светлана")</f>
        <v>Светлана</v>
      </c>
      <c r="F63" s="3"/>
      <c r="G63" s="3"/>
      <c r="H63" s="5">
        <f>IFERROR(__xludf.DUMMYFUNCTION("""COMPUTED_VALUE"""),0.5493055555555556)</f>
        <v>0.5493055556</v>
      </c>
      <c r="I63" s="6">
        <f>IFERROR(__xludf.DUMMYFUNCTION("""COMPUTED_VALUE"""),44352.0)</f>
        <v>44352</v>
      </c>
      <c r="J63" s="5">
        <f>IFERROR(__xludf.DUMMYFUNCTION("""COMPUTED_VALUE"""),0.07083333333333333)</f>
        <v>0.07083333333</v>
      </c>
      <c r="K63" s="6">
        <f>IFERROR(__xludf.DUMMYFUNCTION("""COMPUTED_VALUE"""),44353.0)</f>
        <v>44353</v>
      </c>
      <c r="L63" s="5">
        <f>IFERROR(__xludf.DUMMYFUNCTION("""COMPUTED_VALUE"""),0.5215277777758375)</f>
        <v>0.5215277778</v>
      </c>
      <c r="M63" s="3"/>
    </row>
    <row r="64">
      <c r="A64" s="3">
        <f>IFERROR(__xludf.DUMMYFUNCTION("""COMPUTED_VALUE"""),7.0)</f>
        <v>7</v>
      </c>
      <c r="B64" s="11">
        <f>IFERROR(__xludf.DUMMYFUNCTION("""COMPUTED_VALUE"""),100.0)</f>
        <v>100</v>
      </c>
      <c r="C64" s="3" t="str">
        <f>IFERROR(__xludf.DUMMYFUNCTION("""COMPUTED_VALUE"""),"Sunny")</f>
        <v>Sunny</v>
      </c>
      <c r="D64" s="3" t="str">
        <f>IFERROR(__xludf.DUMMYFUNCTION("""COMPUTED_VALUE"""),"Кузнецова Светлана")</f>
        <v>Кузнецова Светлана</v>
      </c>
      <c r="E64" s="3"/>
      <c r="F64" s="3"/>
      <c r="G64" s="3" t="str">
        <f>IFERROR(__xludf.DUMMYFUNCTION("""COMPUTED_VALUE"""),"подтверждена ")</f>
        <v>подтверждена </v>
      </c>
      <c r="H64" s="5">
        <f>IFERROR(__xludf.DUMMYFUNCTION("""COMPUTED_VALUE"""),0.1701388888888889)</f>
        <v>0.1701388889</v>
      </c>
      <c r="I64" s="6">
        <f>IFERROR(__xludf.DUMMYFUNCTION("""COMPUTED_VALUE"""),44352.0)</f>
        <v>44352</v>
      </c>
      <c r="J64" s="5">
        <f>IFERROR(__xludf.DUMMYFUNCTION("""COMPUTED_VALUE"""),0.7152777777777778)</f>
        <v>0.7152777778</v>
      </c>
      <c r="K64" s="6">
        <f>IFERROR(__xludf.DUMMYFUNCTION("""COMPUTED_VALUE"""),44352.0)</f>
        <v>44352</v>
      </c>
      <c r="L64" s="5">
        <f>IFERROR(__xludf.DUMMYFUNCTION("""COMPUTED_VALUE"""),0.5451388888921227)</f>
        <v>0.5451388889</v>
      </c>
      <c r="M64" s="3" t="str">
        <f>IFERROR(__xludf.DUMMYFUNCTION("""COMPUTED_VALUE"""),"сход после 65")</f>
        <v>сход после 65</v>
      </c>
    </row>
    <row r="65">
      <c r="A65" s="3">
        <f>IFERROR(__xludf.DUMMYFUNCTION("""COMPUTED_VALUE"""),3.0)</f>
        <v>3</v>
      </c>
      <c r="B65" s="11">
        <f>IFERROR(__xludf.DUMMYFUNCTION("""COMPUTED_VALUE"""),100.0)</f>
        <v>100</v>
      </c>
      <c r="C65" s="3"/>
      <c r="D65" s="3" t="str">
        <f>IFERROR(__xludf.DUMMYFUNCTION("""COMPUTED_VALUE"""),"Брагин Андрей")</f>
        <v>Брагин Андрей</v>
      </c>
      <c r="E65" s="3"/>
      <c r="F65" s="3"/>
      <c r="G65" s="3" t="str">
        <f>IFERROR(__xludf.DUMMYFUNCTION("""COMPUTED_VALUE"""),"подтверждена ")</f>
        <v>подтверждена </v>
      </c>
      <c r="H65" s="5">
        <f>IFERROR(__xludf.DUMMYFUNCTION("""COMPUTED_VALUE"""),0.16666666666666666)</f>
        <v>0.1666666667</v>
      </c>
      <c r="I65" s="6">
        <f>IFERROR(__xludf.DUMMYFUNCTION("""COMPUTED_VALUE"""),44352.0)</f>
        <v>44352</v>
      </c>
      <c r="J65" s="5">
        <f>IFERROR(__xludf.DUMMYFUNCTION("""COMPUTED_VALUE"""),0.7173611111111111)</f>
        <v>0.7173611111</v>
      </c>
      <c r="K65" s="6">
        <f>IFERROR(__xludf.DUMMYFUNCTION("""COMPUTED_VALUE"""),44352.0)</f>
        <v>44352</v>
      </c>
      <c r="L65" s="5">
        <f>IFERROR(__xludf.DUMMYFUNCTION("""COMPUTED_VALUE"""),0.5506944444471932)</f>
        <v>0.5506944444</v>
      </c>
      <c r="M65" s="3" t="str">
        <f>IFERROR(__xludf.DUMMYFUNCTION("""COMPUTED_VALUE"""),"сход после 65")</f>
        <v>сход после 65</v>
      </c>
    </row>
    <row r="66">
      <c r="A66" s="3">
        <f>IFERROR(__xludf.DUMMYFUNCTION("""COMPUTED_VALUE"""),26.0)</f>
        <v>26</v>
      </c>
      <c r="B66" s="10">
        <f>IFERROR(__xludf.DUMMYFUNCTION("""COMPUTED_VALUE"""),65.0)</f>
        <v>65</v>
      </c>
      <c r="C66" s="3" t="str">
        <f>IFERROR(__xludf.DUMMYFUNCTION("""COMPUTED_VALUE"""),"Урюк")</f>
        <v>Урюк</v>
      </c>
      <c r="D66" s="3" t="str">
        <f>IFERROR(__xludf.DUMMYFUNCTION("""COMPUTED_VALUE"""),"Федорова Алла")</f>
        <v>Федорова Алла</v>
      </c>
      <c r="E66" s="3"/>
      <c r="F66" s="3"/>
      <c r="G66" s="3" t="str">
        <f>IFERROR(__xludf.DUMMYFUNCTION("""COMPUTED_VALUE"""),"подтверждена ")</f>
        <v>подтверждена </v>
      </c>
      <c r="H66" s="5">
        <f>IFERROR(__xludf.DUMMYFUNCTION("""COMPUTED_VALUE"""),0.4305555555555556)</f>
        <v>0.4305555556</v>
      </c>
      <c r="I66" s="6">
        <f>IFERROR(__xludf.DUMMYFUNCTION("""COMPUTED_VALUE"""),44352.0)</f>
        <v>44352</v>
      </c>
      <c r="J66" s="5">
        <f>IFERROR(__xludf.DUMMYFUNCTION("""COMPUTED_VALUE"""),0.014583333333333334)</f>
        <v>0.01458333333</v>
      </c>
      <c r="K66" s="6">
        <f>IFERROR(__xludf.DUMMYFUNCTION("""COMPUTED_VALUE"""),44353.0)</f>
        <v>44353</v>
      </c>
      <c r="L66" s="5">
        <f>IFERROR(__xludf.DUMMYFUNCTION("""COMPUTED_VALUE"""),0.5840277777743823)</f>
        <v>0.5840277778</v>
      </c>
      <c r="M66" s="3"/>
    </row>
    <row r="67">
      <c r="A67" s="12">
        <f>IFERROR(__xludf.DUMMYFUNCTION("""COMPUTED_VALUE"""),29.0)</f>
        <v>29</v>
      </c>
      <c r="B67" s="11">
        <f>IFERROR(__xludf.DUMMYFUNCTION("""COMPUTED_VALUE"""),100.0)</f>
        <v>100</v>
      </c>
      <c r="C67" s="12" t="str">
        <f>IFERROR(__xludf.DUMMYFUNCTION("""COMPUTED_VALUE"""),"ТК ВШЭ")</f>
        <v>ТК ВШЭ</v>
      </c>
      <c r="D67" s="12" t="str">
        <f>IFERROR(__xludf.DUMMYFUNCTION("""COMPUTED_VALUE"""),"Кудрявцев Никита Владимирович")</f>
        <v>Кудрявцев Никита Владимирович</v>
      </c>
      <c r="E67" s="12"/>
      <c r="F67" s="12"/>
      <c r="G67" s="12" t="str">
        <f>IFERROR(__xludf.DUMMYFUNCTION("""COMPUTED_VALUE"""),"подтверждена ")</f>
        <v>подтверждена </v>
      </c>
      <c r="H67" s="13">
        <f>IFERROR(__xludf.DUMMYFUNCTION("""COMPUTED_VALUE"""),0.32708333333333334)</f>
        <v>0.3270833333</v>
      </c>
      <c r="I67" s="14">
        <f>IFERROR(__xludf.DUMMYFUNCTION("""COMPUTED_VALUE"""),44352.0)</f>
        <v>44352</v>
      </c>
      <c r="J67" s="13">
        <f>IFERROR(__xludf.DUMMYFUNCTION("""COMPUTED_VALUE"""),0.9166666666666666)</f>
        <v>0.9166666667</v>
      </c>
      <c r="K67" s="14">
        <f>IFERROR(__xludf.DUMMYFUNCTION("""COMPUTED_VALUE"""),44352.0)</f>
        <v>44352</v>
      </c>
      <c r="L67" s="13">
        <f>IFERROR(__xludf.DUMMYFUNCTION("""COMPUTED_VALUE"""),0.589583333330908)</f>
        <v>0.5895833333</v>
      </c>
      <c r="M67" s="12" t="str">
        <f>IFERROR(__xludf.DUMMYFUNCTION("""COMPUTED_VALUE"""),"сход после 65")</f>
        <v>сход после 65</v>
      </c>
    </row>
    <row r="68">
      <c r="A68" s="3">
        <f>IFERROR(__xludf.DUMMYFUNCTION("""COMPUTED_VALUE"""),72.0)</f>
        <v>72</v>
      </c>
      <c r="B68" s="10">
        <f>IFERROR(__xludf.DUMMYFUNCTION("""COMPUTED_VALUE"""),65.0)</f>
        <v>65</v>
      </c>
      <c r="C68" s="12" t="str">
        <f>IFERROR(__xludf.DUMMYFUNCTION("""COMPUTED_VALUE"""),"Ломильщики")</f>
        <v>Ломильщики</v>
      </c>
      <c r="D68" s="12" t="str">
        <f>IFERROR(__xludf.DUMMYFUNCTION("""COMPUTED_VALUE"""),"Шляков Евгений Викторович")</f>
        <v>Шляков Евгений Викторович</v>
      </c>
      <c r="E68" s="12" t="str">
        <f>IFERROR(__xludf.DUMMYFUNCTION("""COMPUTED_VALUE"""),"Юлия Вороненко")</f>
        <v>Юлия Вороненко</v>
      </c>
      <c r="F68" s="12"/>
      <c r="G68" s="12" t="str">
        <f>IFERROR(__xludf.DUMMYFUNCTION("""COMPUTED_VALUE"""),"подтверждена ")</f>
        <v>подтверждена </v>
      </c>
      <c r="H68" s="13">
        <f>IFERROR(__xludf.DUMMYFUNCTION("""COMPUTED_VALUE"""),0.3125)</f>
        <v>0.3125</v>
      </c>
      <c r="I68" s="14">
        <f>IFERROR(__xludf.DUMMYFUNCTION("""COMPUTED_VALUE"""),44352.0)</f>
        <v>44352</v>
      </c>
      <c r="J68" s="13">
        <f>IFERROR(__xludf.DUMMYFUNCTION("""COMPUTED_VALUE"""),0.9465277777777777)</f>
        <v>0.9465277778</v>
      </c>
      <c r="K68" s="14">
        <f>IFERROR(__xludf.DUMMYFUNCTION("""COMPUTED_VALUE"""),44352.0)</f>
        <v>44352</v>
      </c>
      <c r="L68" s="13">
        <f>IFERROR(__xludf.DUMMYFUNCTION("""COMPUTED_VALUE"""),0.6340277777781012)</f>
        <v>0.6340277778</v>
      </c>
      <c r="M68" s="12"/>
    </row>
    <row r="69">
      <c r="A69" s="12">
        <f>IFERROR(__xludf.DUMMYFUNCTION("""COMPUTED_VALUE"""),11.0)</f>
        <v>11</v>
      </c>
      <c r="B69" s="11">
        <f>IFERROR(__xludf.DUMMYFUNCTION("""COMPUTED_VALUE"""),100.0)</f>
        <v>100</v>
      </c>
      <c r="C69" s="12" t="str">
        <f>IFERROR(__xludf.DUMMYFUNCTION("""COMPUTED_VALUE"""),"Пуф")</f>
        <v>Пуф</v>
      </c>
      <c r="D69" s="12" t="str">
        <f>IFERROR(__xludf.DUMMYFUNCTION("""COMPUTED_VALUE"""),"Балыков Дмитрий Сергеевич")</f>
        <v>Балыков Дмитрий Сергеевич</v>
      </c>
      <c r="E69" s="12" t="str">
        <f>IFERROR(__xludf.DUMMYFUNCTION("""COMPUTED_VALUE"""),"Степченко Алексей Васильевич")</f>
        <v>Степченко Алексей Васильевич</v>
      </c>
      <c r="F69" s="12"/>
      <c r="G69" s="12"/>
      <c r="H69" s="13">
        <f>IFERROR(__xludf.DUMMYFUNCTION("""COMPUTED_VALUE"""),0.3159722222222222)</f>
        <v>0.3159722222</v>
      </c>
      <c r="I69" s="14">
        <f>IFERROR(__xludf.DUMMYFUNCTION("""COMPUTED_VALUE"""),44352.0)</f>
        <v>44352</v>
      </c>
      <c r="J69" s="13">
        <f>IFERROR(__xludf.DUMMYFUNCTION("""COMPUTED_VALUE"""),0.9513888888888888)</f>
        <v>0.9513888889</v>
      </c>
      <c r="K69" s="14">
        <f>IFERROR(__xludf.DUMMYFUNCTION("""COMPUTED_VALUE"""),44352.0)</f>
        <v>44352</v>
      </c>
      <c r="L69" s="13">
        <f>IFERROR(__xludf.DUMMYFUNCTION("""COMPUTED_VALUE"""),0.6354166666682836)</f>
        <v>0.6354166667</v>
      </c>
      <c r="M69" s="12" t="str">
        <f>IFERROR(__xludf.DUMMYFUNCTION("""COMPUTED_VALUE"""),"сход после 65")</f>
        <v>сход после 65</v>
      </c>
    </row>
    <row r="70">
      <c r="A70" s="12">
        <f>IFERROR(__xludf.DUMMYFUNCTION("""COMPUTED_VALUE"""),18.0)</f>
        <v>18</v>
      </c>
      <c r="B70" s="11">
        <f>IFERROR(__xludf.DUMMYFUNCTION("""COMPUTED_VALUE"""),100.0)</f>
        <v>100</v>
      </c>
      <c r="C70" s="12" t="str">
        <f>IFERROR(__xludf.DUMMYFUNCTION("""COMPUTED_VALUE"""),"Адский Бульдозер")</f>
        <v>Адский Бульдозер</v>
      </c>
      <c r="D70" s="12" t="str">
        <f>IFERROR(__xludf.DUMMYFUNCTION("""COMPUTED_VALUE"""),"Браверман Елена Борисовна")</f>
        <v>Браверман Елена Борисовна</v>
      </c>
      <c r="E70" s="12"/>
      <c r="F70" s="12"/>
      <c r="G70" s="12" t="str">
        <f>IFERROR(__xludf.DUMMYFUNCTION("""COMPUTED_VALUE"""),"подтверждена ")</f>
        <v>подтверждена </v>
      </c>
      <c r="H70" s="13">
        <f>IFERROR(__xludf.DUMMYFUNCTION("""COMPUTED_VALUE"""),0.34375)</f>
        <v>0.34375</v>
      </c>
      <c r="I70" s="14">
        <f>IFERROR(__xludf.DUMMYFUNCTION("""COMPUTED_VALUE"""),44352.0)</f>
        <v>44352</v>
      </c>
      <c r="J70" s="13">
        <f>IFERROR(__xludf.DUMMYFUNCTION("""COMPUTED_VALUE"""),0.027777777777777776)</f>
        <v>0.02777777778</v>
      </c>
      <c r="K70" s="14">
        <f>IFERROR(__xludf.DUMMYFUNCTION("""COMPUTED_VALUE"""),44353.0)</f>
        <v>44353</v>
      </c>
      <c r="L70" s="13">
        <f>IFERROR(__xludf.DUMMYFUNCTION("""COMPUTED_VALUE"""),0.6840277777810115)</f>
        <v>0.6840277778</v>
      </c>
      <c r="M70" s="12" t="str">
        <f>IFERROR(__xludf.DUMMYFUNCTION("""COMPUTED_VALUE"""),"сход после 65")</f>
        <v>сход после 65</v>
      </c>
    </row>
    <row r="71">
      <c r="A71" s="12">
        <f>IFERROR(__xludf.DUMMYFUNCTION("""COMPUTED_VALUE"""),63.0)</f>
        <v>63</v>
      </c>
      <c r="B71" s="10">
        <f>IFERROR(__xludf.DUMMYFUNCTION("""COMPUTED_VALUE"""),65.0)</f>
        <v>65</v>
      </c>
      <c r="C71" s="12"/>
      <c r="D71" s="12" t="str">
        <f>IFERROR(__xludf.DUMMYFUNCTION("""COMPUTED_VALUE"""),"Анна Голева")</f>
        <v>Анна Голева</v>
      </c>
      <c r="E71" s="12"/>
      <c r="F71" s="12"/>
      <c r="G71" s="12" t="str">
        <f>IFERROR(__xludf.DUMMYFUNCTION("""COMPUTED_VALUE"""),"подтверждена ")</f>
        <v>подтверждена </v>
      </c>
      <c r="H71" s="13">
        <f>IFERROR(__xludf.DUMMYFUNCTION("""COMPUTED_VALUE"""),0.34375)</f>
        <v>0.34375</v>
      </c>
      <c r="I71" s="14">
        <f>IFERROR(__xludf.DUMMYFUNCTION("""COMPUTED_VALUE"""),44352.0)</f>
        <v>44352</v>
      </c>
      <c r="J71" s="13">
        <f>IFERROR(__xludf.DUMMYFUNCTION("""COMPUTED_VALUE"""),0.027777777777777776)</f>
        <v>0.02777777778</v>
      </c>
      <c r="K71" s="14">
        <f>IFERROR(__xludf.DUMMYFUNCTION("""COMPUTED_VALUE"""),44353.0)</f>
        <v>44353</v>
      </c>
      <c r="L71" s="13">
        <f>IFERROR(__xludf.DUMMYFUNCTION("""COMPUTED_VALUE"""),0.6840277777810115)</f>
        <v>0.6840277778</v>
      </c>
      <c r="M71" s="12"/>
    </row>
    <row r="72">
      <c r="A72" s="12">
        <f>IFERROR(__xludf.DUMMYFUNCTION("""COMPUTED_VALUE"""),44.0)</f>
        <v>44</v>
      </c>
      <c r="B72" s="10">
        <f>IFERROR(__xludf.DUMMYFUNCTION("""COMPUTED_VALUE"""),65.0)</f>
        <v>65</v>
      </c>
      <c r="C72" s="12"/>
      <c r="D72" s="12" t="str">
        <f>IFERROR(__xludf.DUMMYFUNCTION("""COMPUTED_VALUE"""),"Сергейчик Юрий Сергеевич")</f>
        <v>Сергейчик Юрий Сергеевич</v>
      </c>
      <c r="E72" s="12"/>
      <c r="F72" s="12"/>
      <c r="G72" s="12" t="str">
        <f>IFERROR(__xludf.DUMMYFUNCTION("""COMPUTED_VALUE"""),"подтверждена ")</f>
        <v>подтверждена </v>
      </c>
      <c r="H72" s="13">
        <f>IFERROR(__xludf.DUMMYFUNCTION("""COMPUTED_VALUE"""),0.3784722222222222)</f>
        <v>0.3784722222</v>
      </c>
      <c r="I72" s="14">
        <f>IFERROR(__xludf.DUMMYFUNCTION("""COMPUTED_VALUE"""),44352.0)</f>
        <v>44352</v>
      </c>
      <c r="J72" s="13">
        <f>IFERROR(__xludf.DUMMYFUNCTION("""COMPUTED_VALUE"""),0.06597222222222222)</f>
        <v>0.06597222222</v>
      </c>
      <c r="K72" s="14">
        <f>IFERROR(__xludf.DUMMYFUNCTION("""COMPUTED_VALUE"""),44353.0)</f>
        <v>44353</v>
      </c>
      <c r="L72" s="13">
        <f>IFERROR(__xludf.DUMMYFUNCTION("""COMPUTED_VALUE"""),0.6874999999967663)</f>
        <v>0.6875</v>
      </c>
      <c r="M72" s="12"/>
    </row>
    <row r="73">
      <c r="A73" s="12">
        <f>IFERROR(__xludf.DUMMYFUNCTION("""COMPUTED_VALUE"""),5.0)</f>
        <v>5</v>
      </c>
      <c r="B73" s="11">
        <f>IFERROR(__xludf.DUMMYFUNCTION("""COMPUTED_VALUE"""),100.0)</f>
        <v>100</v>
      </c>
      <c r="C73" s="12" t="str">
        <f>IFERROR(__xludf.DUMMYFUNCTION("""COMPUTED_VALUE"""),"Лесной мопс")</f>
        <v>Лесной мопс</v>
      </c>
      <c r="D73" s="12" t="str">
        <f>IFERROR(__xludf.DUMMYFUNCTION("""COMPUTED_VALUE"""),"Журбина Ирина Александровна ")</f>
        <v>Журбина Ирина Александровна </v>
      </c>
      <c r="E73" s="12"/>
      <c r="F73" s="12"/>
      <c r="G73" s="12" t="str">
        <f>IFERROR(__xludf.DUMMYFUNCTION("""COMPUTED_VALUE"""),"подтверждена ")</f>
        <v>подтверждена </v>
      </c>
      <c r="H73" s="13">
        <f>IFERROR(__xludf.DUMMYFUNCTION("""COMPUTED_VALUE"""),0.4375)</f>
        <v>0.4375</v>
      </c>
      <c r="I73" s="14">
        <f>IFERROR(__xludf.DUMMYFUNCTION("""COMPUTED_VALUE"""),44352.0)</f>
        <v>44352</v>
      </c>
      <c r="J73" s="13">
        <f>IFERROR(__xludf.DUMMYFUNCTION("""COMPUTED_VALUE"""),0.13402777777777777)</f>
        <v>0.1340277778</v>
      </c>
      <c r="K73" s="14">
        <f>IFERROR(__xludf.DUMMYFUNCTION("""COMPUTED_VALUE"""),44353.0)</f>
        <v>44353</v>
      </c>
      <c r="L73" s="13">
        <f>IFERROR(__xludf.DUMMYFUNCTION("""COMPUTED_VALUE"""),0.6965277777781012)</f>
        <v>0.6965277778</v>
      </c>
      <c r="M73" s="12" t="str">
        <f>IFERROR(__xludf.DUMMYFUNCTION("""COMPUTED_VALUE"""),"сход после 65")</f>
        <v>сход после 65</v>
      </c>
    </row>
    <row r="74">
      <c r="A74" s="12">
        <f>IFERROR(__xludf.DUMMYFUNCTION("""COMPUTED_VALUE"""),19.0)</f>
        <v>19</v>
      </c>
      <c r="B74" s="10">
        <f>IFERROR(__xludf.DUMMYFUNCTION("""COMPUTED_VALUE"""),65.0)</f>
        <v>65</v>
      </c>
      <c r="C74" s="12" t="str">
        <f>IFERROR(__xludf.DUMMYFUNCTION("""COMPUTED_VALUE"""),"Счастливой дороги!")</f>
        <v>Счастливой дороги!</v>
      </c>
      <c r="D74" s="12" t="str">
        <f>IFERROR(__xludf.DUMMYFUNCTION("""COMPUTED_VALUE"""),"Скорик Анастасия Валерьевна")</f>
        <v>Скорик Анастасия Валерьевна</v>
      </c>
      <c r="E74" s="12" t="str">
        <f>IFERROR(__xludf.DUMMYFUNCTION("""COMPUTED_VALUE"""),"Скорик Денис Викторович ")</f>
        <v>Скорик Денис Викторович </v>
      </c>
      <c r="F74" s="12"/>
      <c r="G74" s="12" t="str">
        <f>IFERROR(__xludf.DUMMYFUNCTION("""COMPUTED_VALUE"""),"подтверждена ")</f>
        <v>подтверждена </v>
      </c>
      <c r="H74" s="13">
        <f>IFERROR(__xludf.DUMMYFUNCTION("""COMPUTED_VALUE"""),0.3680555555555556)</f>
        <v>0.3680555556</v>
      </c>
      <c r="I74" s="14">
        <f>IFERROR(__xludf.DUMMYFUNCTION("""COMPUTED_VALUE"""),44352.0)</f>
        <v>44352</v>
      </c>
      <c r="J74" s="13">
        <f>IFERROR(__xludf.DUMMYFUNCTION("""COMPUTED_VALUE"""),0.07291666666666667)</f>
        <v>0.07291666667</v>
      </c>
      <c r="K74" s="14">
        <f>IFERROR(__xludf.DUMMYFUNCTION("""COMPUTED_VALUE"""),44353.0)</f>
        <v>44353</v>
      </c>
      <c r="L74" s="13">
        <f>IFERROR(__xludf.DUMMYFUNCTION("""COMPUTED_VALUE"""),0.7048611111086858)</f>
        <v>0.7048611111</v>
      </c>
      <c r="M74" s="12"/>
    </row>
    <row r="75">
      <c r="A75" s="12">
        <f>IFERROR(__xludf.DUMMYFUNCTION("""COMPUTED_VALUE"""),75.0)</f>
        <v>75</v>
      </c>
      <c r="B75" s="10">
        <f>IFERROR(__xludf.DUMMYFUNCTION("""COMPUTED_VALUE"""),65.0)</f>
        <v>65</v>
      </c>
      <c r="C75" s="12"/>
      <c r="D75" s="12" t="str">
        <f>IFERROR(__xludf.DUMMYFUNCTION("""COMPUTED_VALUE"""),"Павлушин Николай Олегович")</f>
        <v>Павлушин Николай Олегович</v>
      </c>
      <c r="E75" s="12"/>
      <c r="F75" s="12"/>
      <c r="G75" s="12" t="str">
        <f>IFERROR(__xludf.DUMMYFUNCTION("""COMPUTED_VALUE"""),"подтверждена ")</f>
        <v>подтверждена </v>
      </c>
      <c r="H75" s="13">
        <f>IFERROR(__xludf.DUMMYFUNCTION("""COMPUTED_VALUE"""),0.35208333333333336)</f>
        <v>0.3520833333</v>
      </c>
      <c r="I75" s="14">
        <f>IFERROR(__xludf.DUMMYFUNCTION("""COMPUTED_VALUE"""),44352.0)</f>
        <v>44352</v>
      </c>
      <c r="J75" s="13">
        <f>IFERROR(__xludf.DUMMYFUNCTION("""COMPUTED_VALUE"""),0.07291666666666667)</f>
        <v>0.07291666667</v>
      </c>
      <c r="K75" s="14">
        <f>IFERROR(__xludf.DUMMYFUNCTION("""COMPUTED_VALUE"""),44353.0)</f>
        <v>44353</v>
      </c>
      <c r="L75" s="13">
        <f>IFERROR(__xludf.DUMMYFUNCTION("""COMPUTED_VALUE"""),0.720833333330908)</f>
        <v>0.7208333333</v>
      </c>
      <c r="M75" s="12"/>
    </row>
    <row r="76">
      <c r="A76" s="12">
        <f>IFERROR(__xludf.DUMMYFUNCTION("""COMPUTED_VALUE"""),15.0)</f>
        <v>15</v>
      </c>
      <c r="B76" s="11">
        <f>IFERROR(__xludf.DUMMYFUNCTION("""COMPUTED_VALUE"""),100.0)</f>
        <v>100</v>
      </c>
      <c r="C76" s="12" t="str">
        <f>IFERROR(__xludf.DUMMYFUNCTION("""COMPUTED_VALUE"""),"Суслики подмосковья")</f>
        <v>Суслики подмосковья</v>
      </c>
      <c r="D76" s="12" t="str">
        <f>IFERROR(__xludf.DUMMYFUNCTION("""COMPUTED_VALUE"""),"Савин Олег Олегович")</f>
        <v>Савин Олег Олегович</v>
      </c>
      <c r="E76" s="12"/>
      <c r="F76" s="12"/>
      <c r="G76" s="12" t="str">
        <f>IFERROR(__xludf.DUMMYFUNCTION("""COMPUTED_VALUE"""),"подтверждена ")</f>
        <v>подтверждена </v>
      </c>
      <c r="H76" s="13">
        <f>IFERROR(__xludf.DUMMYFUNCTION("""COMPUTED_VALUE"""),0.31666666666666665)</f>
        <v>0.3166666667</v>
      </c>
      <c r="I76" s="14">
        <f>IFERROR(__xludf.DUMMYFUNCTION("""COMPUTED_VALUE"""),44352.0)</f>
        <v>44352</v>
      </c>
      <c r="J76" s="13">
        <f>IFERROR(__xludf.DUMMYFUNCTION("""COMPUTED_VALUE"""),0.05625)</f>
        <v>0.05625</v>
      </c>
      <c r="K76" s="14">
        <f>IFERROR(__xludf.DUMMYFUNCTION("""COMPUTED_VALUE"""),44353.0)</f>
        <v>44353</v>
      </c>
      <c r="L76" s="13">
        <f>IFERROR(__xludf.DUMMYFUNCTION("""COMPUTED_VALUE"""),0.7395833333347885)</f>
        <v>0.7395833333</v>
      </c>
      <c r="M76" s="12" t="str">
        <f>IFERROR(__xludf.DUMMYFUNCTION("""COMPUTED_VALUE"""),"сход после 65")</f>
        <v>сход после 65</v>
      </c>
    </row>
    <row r="77">
      <c r="A77" s="12">
        <f>IFERROR(__xludf.DUMMYFUNCTION("""COMPUTED_VALUE"""),39.0)</f>
        <v>39</v>
      </c>
      <c r="B77" s="10">
        <f>IFERROR(__xludf.DUMMYFUNCTION("""COMPUTED_VALUE"""),65.0)</f>
        <v>65</v>
      </c>
      <c r="C77" s="12" t="str">
        <f>IFERROR(__xludf.DUMMYFUNCTION("""COMPUTED_VALUE"""),"Хитрая выхухоль")</f>
        <v>Хитрая выхухоль</v>
      </c>
      <c r="D77" s="12" t="str">
        <f>IFERROR(__xludf.DUMMYFUNCTION("""COMPUTED_VALUE"""),"Маклакова Ирина Александровна")</f>
        <v>Маклакова Ирина Александровна</v>
      </c>
      <c r="E77" s="12"/>
      <c r="F77" s="12"/>
      <c r="G77" s="12" t="str">
        <f>IFERROR(__xludf.DUMMYFUNCTION("""COMPUTED_VALUE"""),"подтверждена")</f>
        <v>подтверждена</v>
      </c>
      <c r="H77" s="13">
        <f>IFERROR(__xludf.DUMMYFUNCTION("""COMPUTED_VALUE"""),0.31666666666666665)</f>
        <v>0.3166666667</v>
      </c>
      <c r="I77" s="14">
        <f>IFERROR(__xludf.DUMMYFUNCTION("""COMPUTED_VALUE"""),44352.0)</f>
        <v>44352</v>
      </c>
      <c r="J77" s="13">
        <f>IFERROR(__xludf.DUMMYFUNCTION("""COMPUTED_VALUE"""),0.06388888888888888)</f>
        <v>0.06388888889</v>
      </c>
      <c r="K77" s="14">
        <f>IFERROR(__xludf.DUMMYFUNCTION("""COMPUTED_VALUE"""),44353.0)</f>
        <v>44353</v>
      </c>
      <c r="L77" s="13">
        <f>IFERROR(__xludf.DUMMYFUNCTION("""COMPUTED_VALUE"""),0.7472222222194735)</f>
        <v>0.7472222222</v>
      </c>
      <c r="M77" s="12"/>
    </row>
    <row r="78">
      <c r="A78" s="12">
        <f>IFERROR(__xludf.DUMMYFUNCTION("""COMPUTED_VALUE"""),4.0)</f>
        <v>4</v>
      </c>
      <c r="B78" s="11">
        <f>IFERROR(__xludf.DUMMYFUNCTION("""COMPUTED_VALUE"""),100.0)</f>
        <v>100</v>
      </c>
      <c r="C78" s="12" t="str">
        <f>IFERROR(__xludf.DUMMYFUNCTION("""COMPUTED_VALUE"""),"Некрасова Екатерина")</f>
        <v>Некрасова Екатерина</v>
      </c>
      <c r="D78" s="12" t="str">
        <f>IFERROR(__xludf.DUMMYFUNCTION("""COMPUTED_VALUE"""),"Некрасова Екатерина Сергееана")</f>
        <v>Некрасова Екатерина Сергееана</v>
      </c>
      <c r="E78" s="12"/>
      <c r="F78" s="12"/>
      <c r="G78" s="12" t="str">
        <f>IFERROR(__xludf.DUMMYFUNCTION("""COMPUTED_VALUE"""),"подтверждена ")</f>
        <v>подтверждена </v>
      </c>
      <c r="H78" s="13">
        <f>IFERROR(__xludf.DUMMYFUNCTION("""COMPUTED_VALUE"""),0.2916666666666667)</f>
        <v>0.2916666667</v>
      </c>
      <c r="I78" s="14">
        <f>IFERROR(__xludf.DUMMYFUNCTION("""COMPUTED_VALUE"""),44352.0)</f>
        <v>44352</v>
      </c>
      <c r="J78" s="13">
        <f>IFERROR(__xludf.DUMMYFUNCTION("""COMPUTED_VALUE"""),0.05277777777777778)</f>
        <v>0.05277777778</v>
      </c>
      <c r="K78" s="14">
        <f>IFERROR(__xludf.DUMMYFUNCTION("""COMPUTED_VALUE"""),44353.0)</f>
        <v>44353</v>
      </c>
      <c r="L78" s="13">
        <f>IFERROR(__xludf.DUMMYFUNCTION("""COMPUTED_VALUE"""),0.761111111108524)</f>
        <v>0.7611111111</v>
      </c>
      <c r="M78" s="12"/>
    </row>
    <row r="79">
      <c r="A79" s="12">
        <f>IFERROR(__xludf.DUMMYFUNCTION("""COMPUTED_VALUE"""),58.0)</f>
        <v>58</v>
      </c>
      <c r="B79" s="11">
        <f>IFERROR(__xludf.DUMMYFUNCTION("""COMPUTED_VALUE"""),100.0)</f>
        <v>100</v>
      </c>
      <c r="C79" s="12"/>
      <c r="D79" s="12" t="str">
        <f>IFERROR(__xludf.DUMMYFUNCTION("""COMPUTED_VALUE"""),"Пирожков Артур")</f>
        <v>Пирожков Артур</v>
      </c>
      <c r="E79" s="12"/>
      <c r="F79" s="12"/>
      <c r="G79" s="12" t="str">
        <f>IFERROR(__xludf.DUMMYFUNCTION("""COMPUTED_VALUE"""),"подтверждена ")</f>
        <v>подтверждена </v>
      </c>
      <c r="H79" s="13">
        <f>IFERROR(__xludf.DUMMYFUNCTION("""COMPUTED_VALUE"""),0.2916666666666667)</f>
        <v>0.2916666667</v>
      </c>
      <c r="I79" s="14">
        <f>IFERROR(__xludf.DUMMYFUNCTION("""COMPUTED_VALUE"""),44352.0)</f>
        <v>44352</v>
      </c>
      <c r="J79" s="13">
        <f>IFERROR(__xludf.DUMMYFUNCTION("""COMPUTED_VALUE"""),0.05347222222222222)</f>
        <v>0.05347222222</v>
      </c>
      <c r="K79" s="14">
        <f>IFERROR(__xludf.DUMMYFUNCTION("""COMPUTED_VALUE"""),44353.0)</f>
        <v>44353</v>
      </c>
      <c r="L79" s="13">
        <f>IFERROR(__xludf.DUMMYFUNCTION("""COMPUTED_VALUE"""),0.7618055555552321)</f>
        <v>0.7618055556</v>
      </c>
      <c r="M79" s="12"/>
    </row>
    <row r="80">
      <c r="A80" s="3">
        <f>IFERROR(__xludf.DUMMYFUNCTION("""COMPUTED_VALUE"""),42.0)</f>
        <v>42</v>
      </c>
      <c r="B80" s="10">
        <f>IFERROR(__xludf.DUMMYFUNCTION("""COMPUTED_VALUE"""),65.0)</f>
        <v>65</v>
      </c>
      <c r="C80" s="12" t="str">
        <f>IFERROR(__xludf.DUMMYFUNCTION("""COMPUTED_VALUE"""),"Неутомимые ходоки")</f>
        <v>Неутомимые ходоки</v>
      </c>
      <c r="D80" s="12" t="str">
        <f>IFERROR(__xludf.DUMMYFUNCTION("""COMPUTED_VALUE"""),"Филенков Кирилл Андреевич")</f>
        <v>Филенков Кирилл Андреевич</v>
      </c>
      <c r="E80" s="12" t="str">
        <f>IFERROR(__xludf.DUMMYFUNCTION("""COMPUTED_VALUE"""),"Кривель Алексей Павлович")</f>
        <v>Кривель Алексей Павлович</v>
      </c>
      <c r="F80" s="12"/>
      <c r="G80" s="12" t="str">
        <f>IFERROR(__xludf.DUMMYFUNCTION("""COMPUTED_VALUE"""),"подтверждена ")</f>
        <v>подтверждена </v>
      </c>
      <c r="H80" s="13">
        <f>IFERROR(__xludf.DUMMYFUNCTION("""COMPUTED_VALUE"""),0.28125)</f>
        <v>0.28125</v>
      </c>
      <c r="I80" s="14">
        <f>IFERROR(__xludf.DUMMYFUNCTION("""COMPUTED_VALUE"""),44352.0)</f>
        <v>44352</v>
      </c>
      <c r="J80" s="13">
        <f>IFERROR(__xludf.DUMMYFUNCTION("""COMPUTED_VALUE"""),0.08819444444444445)</f>
        <v>0.08819444444</v>
      </c>
      <c r="K80" s="14">
        <f>IFERROR(__xludf.DUMMYFUNCTION("""COMPUTED_VALUE"""),44353.0)</f>
        <v>44353</v>
      </c>
      <c r="L80" s="13">
        <f>IFERROR(__xludf.DUMMYFUNCTION("""COMPUTED_VALUE"""),0.8069444444408873)</f>
        <v>0.8069444444</v>
      </c>
      <c r="M80" s="12"/>
    </row>
    <row r="81">
      <c r="A81" s="12">
        <f>IFERROR(__xludf.DUMMYFUNCTION("""COMPUTED_VALUE"""),2.0)</f>
        <v>2</v>
      </c>
      <c r="B81" s="11">
        <f>IFERROR(__xludf.DUMMYFUNCTION("""COMPUTED_VALUE"""),100.0)</f>
        <v>100</v>
      </c>
      <c r="C81" s="12" t="str">
        <f>IFERROR(__xludf.DUMMYFUNCTION("""COMPUTED_VALUE"""),"Пересвет")</f>
        <v>Пересвет</v>
      </c>
      <c r="D81" s="12" t="str">
        <f>IFERROR(__xludf.DUMMYFUNCTION("""COMPUTED_VALUE"""),"Дочкин Андрей Сергеевич")</f>
        <v>Дочкин Андрей Сергеевич</v>
      </c>
      <c r="E81" s="12"/>
      <c r="F81" s="12"/>
      <c r="G81" s="12" t="str">
        <f>IFERROR(__xludf.DUMMYFUNCTION("""COMPUTED_VALUE"""),"подтверждена ")</f>
        <v>подтверждена </v>
      </c>
      <c r="H81" s="13">
        <f>IFERROR(__xludf.DUMMYFUNCTION("""COMPUTED_VALUE"""),0.35833333333333334)</f>
        <v>0.3583333333</v>
      </c>
      <c r="I81" s="14">
        <f>IFERROR(__xludf.DUMMYFUNCTION("""COMPUTED_VALUE"""),44352.0)</f>
        <v>44352</v>
      </c>
      <c r="J81" s="13">
        <f>IFERROR(__xludf.DUMMYFUNCTION("""COMPUTED_VALUE"""),0.2013888888888889)</f>
        <v>0.2013888889</v>
      </c>
      <c r="K81" s="14">
        <f>IFERROR(__xludf.DUMMYFUNCTION("""COMPUTED_VALUE"""),44353.0)</f>
        <v>44353</v>
      </c>
      <c r="L81" s="13">
        <f>IFERROR(__xludf.DUMMYFUNCTION("""COMPUTED_VALUE"""),0.8430555555571724)</f>
        <v>0.8430555556</v>
      </c>
      <c r="M81" s="12"/>
    </row>
    <row r="82">
      <c r="A82" s="3">
        <f>IFERROR(__xludf.DUMMYFUNCTION("""COMPUTED_VALUE"""),28.0)</f>
        <v>28</v>
      </c>
      <c r="B82" s="10">
        <f>IFERROR(__xludf.DUMMYFUNCTION("""COMPUTED_VALUE"""),65.0)</f>
        <v>65</v>
      </c>
      <c r="C82" s="12" t="str">
        <f>IFERROR(__xludf.DUMMYFUNCTION("""COMPUTED_VALUE"""),"Я и опять я")</f>
        <v>Я и опять я</v>
      </c>
      <c r="D82" s="12" t="str">
        <f>IFERROR(__xludf.DUMMYFUNCTION("""COMPUTED_VALUE"""),"Павловских Дмитрий Ремзиевич")</f>
        <v>Павловских Дмитрий Ремзиевич</v>
      </c>
      <c r="E82" s="12"/>
      <c r="F82" s="12"/>
      <c r="G82" s="12" t="str">
        <f>IFERROR(__xludf.DUMMYFUNCTION("""COMPUTED_VALUE"""),"подтверждена ")</f>
        <v>подтверждена </v>
      </c>
      <c r="H82" s="13">
        <f>IFERROR(__xludf.DUMMYFUNCTION("""COMPUTED_VALUE"""),0.4791666666666667)</f>
        <v>0.4791666667</v>
      </c>
      <c r="I82" s="14">
        <f>IFERROR(__xludf.DUMMYFUNCTION("""COMPUTED_VALUE"""),44352.0)</f>
        <v>44352</v>
      </c>
      <c r="J82" s="13">
        <f>IFERROR(__xludf.DUMMYFUNCTION("""COMPUTED_VALUE"""),0.43333333333333335)</f>
        <v>0.4333333333</v>
      </c>
      <c r="K82" s="14">
        <f>IFERROR(__xludf.DUMMYFUNCTION("""COMPUTED_VALUE"""),44353.0)</f>
        <v>44353</v>
      </c>
      <c r="L82" s="13">
        <f>IFERROR(__xludf.DUMMYFUNCTION("""COMPUTED_VALUE"""),0.9541666666676367)</f>
        <v>0.9541666667</v>
      </c>
      <c r="M82" s="12"/>
    </row>
    <row r="83">
      <c r="A83" s="3">
        <f>IFERROR(__xludf.DUMMYFUNCTION("""COMPUTED_VALUE"""),57.0)</f>
        <v>57</v>
      </c>
      <c r="B83" s="10">
        <f>IFERROR(__xludf.DUMMYFUNCTION("""COMPUTED_VALUE"""),65.0)</f>
        <v>65</v>
      </c>
      <c r="C83" s="3" t="str">
        <f>IFERROR(__xludf.DUMMYFUNCTION("""COMPUTED_VALUE"""),"white")</f>
        <v>white</v>
      </c>
      <c r="D83" s="3" t="str">
        <f>IFERROR(__xludf.DUMMYFUNCTION("""COMPUTED_VALUE"""),"Зимаков Андрей")</f>
        <v>Зимаков Андрей</v>
      </c>
      <c r="E83" s="3"/>
      <c r="F83" s="3"/>
      <c r="G83" s="3" t="str">
        <f>IFERROR(__xludf.DUMMYFUNCTION("""COMPUTED_VALUE"""),"подтверждена ")</f>
        <v>подтверждена </v>
      </c>
      <c r="H83" s="5">
        <f>IFERROR(__xludf.DUMMYFUNCTION("""COMPUTED_VALUE"""),0.3159722222222222)</f>
        <v>0.3159722222</v>
      </c>
      <c r="I83" s="6">
        <f>IFERROR(__xludf.DUMMYFUNCTION("""COMPUTED_VALUE"""),44352.0)</f>
        <v>44352</v>
      </c>
      <c r="J83" s="5">
        <f>IFERROR(__xludf.DUMMYFUNCTION("""COMPUTED_VALUE"""),0.3138888888888889)</f>
        <v>0.3138888889</v>
      </c>
      <c r="K83" s="6">
        <f>IFERROR(__xludf.DUMMYFUNCTION("""COMPUTED_VALUE"""),44353.0)</f>
        <v>44353</v>
      </c>
      <c r="L83" s="5">
        <f>IFERROR(__xludf.DUMMYFUNCTION("""COMPUTED_VALUE"""),0.997916666663918)</f>
        <v>0.9979166667</v>
      </c>
      <c r="M83" s="3"/>
    </row>
    <row r="84">
      <c r="A84" s="12">
        <f>IFERROR(__xludf.DUMMYFUNCTION("""COMPUTED_VALUE"""),17.0)</f>
        <v>17</v>
      </c>
      <c r="B84" s="11">
        <f>IFERROR(__xludf.DUMMYFUNCTION("""COMPUTED_VALUE"""),100.0)</f>
        <v>100</v>
      </c>
      <c r="C84" s="12" t="str">
        <f>IFERROR(__xludf.DUMMYFUNCTION("""COMPUTED_VALUE"""),"От забора до заката")</f>
        <v>От забора до заката</v>
      </c>
      <c r="D84" s="12" t="str">
        <f>IFERROR(__xludf.DUMMYFUNCTION("""COMPUTED_VALUE"""),"Соколов Константин Викторович")</f>
        <v>Соколов Константин Викторович</v>
      </c>
      <c r="E84" s="12"/>
      <c r="F84" s="12"/>
      <c r="G84" s="12" t="str">
        <f>IFERROR(__xludf.DUMMYFUNCTION("""COMPUTED_VALUE"""),"подтверждена ")</f>
        <v>подтверждена </v>
      </c>
      <c r="H84" s="13">
        <f>IFERROR(__xludf.DUMMYFUNCTION("""COMPUTED_VALUE"""),0.3680555555555556)</f>
        <v>0.3680555556</v>
      </c>
      <c r="I84" s="14">
        <f>IFERROR(__xludf.DUMMYFUNCTION("""COMPUTED_VALUE"""),44352.0)</f>
        <v>44352</v>
      </c>
      <c r="J84" s="13">
        <f>IFERROR(__xludf.DUMMYFUNCTION("""COMPUTED_VALUE"""),0.38958333333333334)</f>
        <v>0.3895833333</v>
      </c>
      <c r="K84" s="14">
        <f>IFERROR(__xludf.DUMMYFUNCTION("""COMPUTED_VALUE"""),44353.0)</f>
        <v>44353</v>
      </c>
      <c r="L84" s="15">
        <f>IFERROR(__xludf.DUMMYFUNCTION("""COMPUTED_VALUE"""),1.0215277777777778)</f>
        <v>1.021527778</v>
      </c>
      <c r="M84" s="12"/>
    </row>
    <row r="85">
      <c r="A85" s="3">
        <f>IFERROR(__xludf.DUMMYFUNCTION("""COMPUTED_VALUE"""),16.0)</f>
        <v>16</v>
      </c>
      <c r="B85" s="10">
        <f>IFERROR(__xludf.DUMMYFUNCTION("""COMPUTED_VALUE"""),65.0)</f>
        <v>65</v>
      </c>
      <c r="C85" s="3" t="str">
        <f>IFERROR(__xludf.DUMMYFUNCTION("""COMPUTED_VALUE"""),"Атом")</f>
        <v>Атом</v>
      </c>
      <c r="D85" s="3" t="str">
        <f>IFERROR(__xludf.DUMMYFUNCTION("""COMPUTED_VALUE"""),"Крылов Сергей")</f>
        <v>Крылов Сергей</v>
      </c>
      <c r="E85" s="3"/>
      <c r="F85" s="3"/>
      <c r="G85" s="3" t="str">
        <f>IFERROR(__xludf.DUMMYFUNCTION("""COMPUTED_VALUE"""),"подтверждена ")</f>
        <v>подтверждена </v>
      </c>
      <c r="H85" s="5">
        <f>IFERROR(__xludf.DUMMYFUNCTION("""COMPUTED_VALUE"""),0.4791666666666667)</f>
        <v>0.4791666667</v>
      </c>
      <c r="I85" s="6">
        <f>IFERROR(__xludf.DUMMYFUNCTION("""COMPUTED_VALUE"""),44352.0)</f>
        <v>44352</v>
      </c>
      <c r="J85" s="3" t="str">
        <f>IFERROR(__xludf.DUMMYFUNCTION("""COMPUTED_VALUE"""),"#N/A")</f>
        <v>#N/A</v>
      </c>
      <c r="K85" s="3" t="str">
        <f>IFERROR(__xludf.DUMMYFUNCTION("""COMPUTED_VALUE"""),"#N/A")</f>
        <v>#N/A</v>
      </c>
      <c r="L85" s="3" t="str">
        <f>IFERROR(__xludf.DUMMYFUNCTION("""COMPUTED_VALUE"""),"#N/A")</f>
        <v>#N/A</v>
      </c>
      <c r="M85" s="3" t="str">
        <f>IFERROR(__xludf.DUMMYFUNCTION("""COMPUTED_VALUE"""),"не вышел на старт")</f>
        <v>не вышел на старт</v>
      </c>
    </row>
    <row r="86">
      <c r="A86" s="3">
        <f>IFERROR(__xludf.DUMMYFUNCTION("""COMPUTED_VALUE"""),20.0)</f>
        <v>20</v>
      </c>
      <c r="B86" s="7">
        <f>IFERROR(__xludf.DUMMYFUNCTION("""COMPUTED_VALUE"""),35.0)</f>
        <v>35</v>
      </c>
      <c r="C86" s="3"/>
      <c r="D86" s="3" t="str">
        <f>IFERROR(__xludf.DUMMYFUNCTION("""COMPUTED_VALUE"""),"Петрухин Максим Витальевич")</f>
        <v>Петрухин Максим Витальевич</v>
      </c>
      <c r="E86" s="3" t="str">
        <f>IFERROR(__xludf.DUMMYFUNCTION("""COMPUTED_VALUE"""),"Орлова Наталья Витальевна")</f>
        <v>Орлова Наталья Витальевна</v>
      </c>
      <c r="F86" s="3"/>
      <c r="G86" s="3" t="str">
        <f>IFERROR(__xludf.DUMMYFUNCTION("""COMPUTED_VALUE"""),"подтверждена ")</f>
        <v>подтверждена </v>
      </c>
      <c r="H86" s="3" t="str">
        <f>IFERROR(__xludf.DUMMYFUNCTION("""COMPUTED_VALUE"""),"#N/A")</f>
        <v>#N/A</v>
      </c>
      <c r="I86" s="3" t="str">
        <f>IFERROR(__xludf.DUMMYFUNCTION("""COMPUTED_VALUE"""),"#N/A")</f>
        <v>#N/A</v>
      </c>
      <c r="J86" s="3" t="str">
        <f>IFERROR(__xludf.DUMMYFUNCTION("""COMPUTED_VALUE"""),"#N/A")</f>
        <v>#N/A</v>
      </c>
      <c r="K86" s="3" t="str">
        <f>IFERROR(__xludf.DUMMYFUNCTION("""COMPUTED_VALUE"""),"#N/A")</f>
        <v>#N/A</v>
      </c>
      <c r="L86" s="3" t="str">
        <f>IFERROR(__xludf.DUMMYFUNCTION("""COMPUTED_VALUE"""),"#N/A")</f>
        <v>#N/A</v>
      </c>
      <c r="M86" s="3" t="str">
        <f>IFERROR(__xludf.DUMMYFUNCTION("""COMPUTED_VALUE"""),"не вышел на старт")</f>
        <v>не вышел на старт</v>
      </c>
    </row>
    <row r="87">
      <c r="A87" s="3">
        <f>IFERROR(__xludf.DUMMYFUNCTION("""COMPUTED_VALUE"""),36.0)</f>
        <v>36</v>
      </c>
      <c r="B87" s="10">
        <f>IFERROR(__xludf.DUMMYFUNCTION("""COMPUTED_VALUE"""),65.0)</f>
        <v>65</v>
      </c>
      <c r="C87" s="3"/>
      <c r="D87" s="3" t="str">
        <f>IFERROR(__xludf.DUMMYFUNCTION("""COMPUTED_VALUE"""),"Александр")</f>
        <v>Александр</v>
      </c>
      <c r="E87" s="3" t="str">
        <f>IFERROR(__xludf.DUMMYFUNCTION("""COMPUTED_VALUE"""),"Дарья")</f>
        <v>Дарья</v>
      </c>
      <c r="F87" s="3"/>
      <c r="G87" s="3" t="str">
        <f>IFERROR(__xludf.DUMMYFUNCTION("""COMPUTED_VALUE"""),"подтверждена ")</f>
        <v>подтверждена </v>
      </c>
      <c r="H87" s="5">
        <f>IFERROR(__xludf.DUMMYFUNCTION("""COMPUTED_VALUE"""),0.4375)</f>
        <v>0.4375</v>
      </c>
      <c r="I87" s="6">
        <f>IFERROR(__xludf.DUMMYFUNCTION("""COMPUTED_VALUE"""),44352.0)</f>
        <v>44352</v>
      </c>
      <c r="J87" s="3" t="str">
        <f>IFERROR(__xludf.DUMMYFUNCTION("""COMPUTED_VALUE"""),"сход")</f>
        <v>сход</v>
      </c>
      <c r="K87" s="6">
        <f>IFERROR(__xludf.DUMMYFUNCTION("""COMPUTED_VALUE"""),44352.0)</f>
        <v>44352</v>
      </c>
      <c r="L87" s="3" t="str">
        <f>IFERROR(__xludf.DUMMYFUNCTION("""COMPUTED_VALUE"""),"#VALUE!")</f>
        <v>#VALUE!</v>
      </c>
      <c r="M87" s="3" t="str">
        <f>IFERROR(__xludf.DUMMYFUNCTION("""COMPUTED_VALUE"""),"сход")</f>
        <v>сход</v>
      </c>
    </row>
    <row r="88">
      <c r="A88" s="3">
        <f>IFERROR(__xludf.DUMMYFUNCTION("""COMPUTED_VALUE"""),54.0)</f>
        <v>54</v>
      </c>
      <c r="B88" s="8">
        <f>IFERROR(__xludf.DUMMYFUNCTION("""COMPUTED_VALUE"""),45.0)</f>
        <v>45</v>
      </c>
      <c r="C88" s="3" t="str">
        <f>IFERROR(__xludf.DUMMYFUNCTION("""COMPUTED_VALUE"""),"беридив@н")</f>
        <v>беридив@н</v>
      </c>
      <c r="D88" s="3" t="str">
        <f>IFERROR(__xludf.DUMMYFUNCTION("""COMPUTED_VALUE"""),"Отрашкевич Алексей ")</f>
        <v>Отрашкевич Алексей </v>
      </c>
      <c r="E88" s="3" t="str">
        <f>IFERROR(__xludf.DUMMYFUNCTION("""COMPUTED_VALUE"""),"Камышев Евгений ")</f>
        <v>Камышев Евгений </v>
      </c>
      <c r="F88" s="3" t="str">
        <f>IFERROR(__xludf.DUMMYFUNCTION("""COMPUTED_VALUE"""),"Камышева Анна ")</f>
        <v>Камышева Анна </v>
      </c>
      <c r="G88" s="3" t="str">
        <f>IFERROR(__xludf.DUMMYFUNCTION("""COMPUTED_VALUE"""),"подтверждена ")</f>
        <v>подтверждена </v>
      </c>
      <c r="H88" s="3" t="str">
        <f>IFERROR(__xludf.DUMMYFUNCTION("""COMPUTED_VALUE"""),"#N/A")</f>
        <v>#N/A</v>
      </c>
      <c r="I88" s="3" t="str">
        <f>IFERROR(__xludf.DUMMYFUNCTION("""COMPUTED_VALUE"""),"#N/A")</f>
        <v>#N/A</v>
      </c>
      <c r="J88" s="3" t="str">
        <f>IFERROR(__xludf.DUMMYFUNCTION("""COMPUTED_VALUE"""),"#N/A")</f>
        <v>#N/A</v>
      </c>
      <c r="K88" s="3" t="str">
        <f>IFERROR(__xludf.DUMMYFUNCTION("""COMPUTED_VALUE"""),"#N/A")</f>
        <v>#N/A</v>
      </c>
      <c r="L88" s="3" t="str">
        <f>IFERROR(__xludf.DUMMYFUNCTION("""COMPUTED_VALUE"""),"#N/A")</f>
        <v>#N/A</v>
      </c>
      <c r="M88" s="3" t="str">
        <f>IFERROR(__xludf.DUMMYFUNCTION("""COMPUTED_VALUE"""),"не вышел на старт")</f>
        <v>не вышел на старт</v>
      </c>
    </row>
    <row r="89">
      <c r="A89" s="3">
        <f>IFERROR(__xludf.DUMMYFUNCTION("""COMPUTED_VALUE"""),92.0)</f>
        <v>92</v>
      </c>
      <c r="B89" s="4">
        <f>IFERROR(__xludf.DUMMYFUNCTION("""COMPUTED_VALUE"""),20.0)</f>
        <v>20</v>
      </c>
      <c r="C89" s="3"/>
      <c r="D89" s="3" t="str">
        <f>IFERROR(__xludf.DUMMYFUNCTION("""COMPUTED_VALUE"""),"Поляков Алексей")</f>
        <v>Поляков Алексей</v>
      </c>
      <c r="E89" s="3" t="str">
        <f>IFERROR(__xludf.DUMMYFUNCTION("""COMPUTED_VALUE"""),"Кузин Александр")</f>
        <v>Кузин Александр</v>
      </c>
      <c r="F89" s="3"/>
      <c r="G89" s="3"/>
      <c r="H89" s="3" t="str">
        <f>IFERROR(__xludf.DUMMYFUNCTION("""COMPUTED_VALUE"""),"#N/A")</f>
        <v>#N/A</v>
      </c>
      <c r="I89" s="3" t="str">
        <f>IFERROR(__xludf.DUMMYFUNCTION("""COMPUTED_VALUE"""),"#N/A")</f>
        <v>#N/A</v>
      </c>
      <c r="J89" s="5">
        <f>IFERROR(__xludf.DUMMYFUNCTION("""COMPUTED_VALUE"""),0.8583333333333333)</f>
        <v>0.8583333333</v>
      </c>
      <c r="K89" s="6">
        <f>IFERROR(__xludf.DUMMYFUNCTION("""COMPUTED_VALUE"""),44352.0)</f>
        <v>44352</v>
      </c>
      <c r="L89" s="3" t="str">
        <f>IFERROR(__xludf.DUMMYFUNCTION("""COMPUTED_VALUE"""),"#N/A")</f>
        <v>#N/A</v>
      </c>
      <c r="M89" s="3" t="str">
        <f>IFERROR(__xludf.DUMMYFUNCTION("""COMPUTED_VALUE"""),"уточните время старта")</f>
        <v>уточните время старта</v>
      </c>
    </row>
    <row r="90">
      <c r="A90" s="3">
        <f>IFERROR(__xludf.DUMMYFUNCTION("""COMPUTED_VALUE"""),31.0)</f>
        <v>31</v>
      </c>
      <c r="B90" s="7">
        <f>IFERROR(__xludf.DUMMYFUNCTION("""COMPUTED_VALUE"""),35.0)</f>
        <v>35</v>
      </c>
      <c r="C90" s="3" t="str">
        <f>IFERROR(__xludf.DUMMYFUNCTION("""COMPUTED_VALUE"""),"Качуха")</f>
        <v>Качуха</v>
      </c>
      <c r="D90" s="3" t="str">
        <f>IFERROR(__xludf.DUMMYFUNCTION("""COMPUTED_VALUE"""),"Андреева Анна Николаевна")</f>
        <v>Андреева Анна Николаевна</v>
      </c>
      <c r="E90" s="3"/>
      <c r="F90" s="3"/>
      <c r="G90" s="3" t="str">
        <f>IFERROR(__xludf.DUMMYFUNCTION("""COMPUTED_VALUE"""),"подтверждена ")</f>
        <v>подтверждена </v>
      </c>
      <c r="H90" s="5">
        <f>IFERROR(__xludf.DUMMYFUNCTION("""COMPUTED_VALUE"""),0.30416666666666664)</f>
        <v>0.3041666667</v>
      </c>
      <c r="I90" s="6">
        <f>IFERROR(__xludf.DUMMYFUNCTION("""COMPUTED_VALUE"""),44352.0)</f>
        <v>44352</v>
      </c>
      <c r="J90" s="3"/>
      <c r="K90" s="6">
        <f>IFERROR(__xludf.DUMMYFUNCTION("""COMPUTED_VALUE"""),44352.0)</f>
        <v>44352</v>
      </c>
      <c r="L90" s="3"/>
      <c r="M90" s="3" t="str">
        <f>IFERROR(__xludf.DUMMYFUNCTION("""COMPUTED_VALUE"""),"сход")</f>
        <v>сход</v>
      </c>
    </row>
    <row r="91">
      <c r="A91" s="16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</row>
    <row r="92">
      <c r="A92" s="16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</row>
    <row r="93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</row>
    <row r="94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</row>
    <row r="95">
      <c r="A95" s="16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</row>
    <row r="96">
      <c r="A96" s="16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</row>
    <row r="97">
      <c r="A97" s="16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</row>
    <row r="98">
      <c r="A98" s="16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</row>
    <row r="99">
      <c r="A99" s="16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</row>
    <row r="100">
      <c r="A100" s="16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</row>
  </sheetData>
  <autoFilter ref="$A$1:$Z$9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17" t="s">
        <v>0</v>
      </c>
      <c r="B1" s="18" t="s">
        <v>1</v>
      </c>
      <c r="C1" s="18" t="s">
        <v>2</v>
      </c>
      <c r="D1" s="18" t="s">
        <v>3</v>
      </c>
      <c r="E1" s="18" t="s">
        <v>4</v>
      </c>
      <c r="F1" s="18" t="s">
        <v>5</v>
      </c>
      <c r="G1" s="19" t="s">
        <v>9</v>
      </c>
    </row>
    <row r="2">
      <c r="A2" s="20">
        <v>67.0</v>
      </c>
      <c r="B2" s="21">
        <v>20.0</v>
      </c>
      <c r="C2" s="22" t="s">
        <v>10</v>
      </c>
      <c r="D2" s="22" t="s">
        <v>11</v>
      </c>
      <c r="E2" s="23"/>
      <c r="F2" s="23"/>
      <c r="G2" s="24">
        <v>0.15208333333333332</v>
      </c>
    </row>
    <row r="3">
      <c r="A3" s="20">
        <v>77.0</v>
      </c>
      <c r="B3" s="21">
        <v>20.0</v>
      </c>
      <c r="C3" s="22" t="s">
        <v>12</v>
      </c>
      <c r="D3" s="22" t="s">
        <v>13</v>
      </c>
      <c r="E3" s="22" t="s">
        <v>14</v>
      </c>
      <c r="F3" s="22" t="s">
        <v>15</v>
      </c>
      <c r="G3" s="24">
        <v>0.1673611111111111</v>
      </c>
    </row>
    <row r="4">
      <c r="A4" s="20">
        <v>38.0</v>
      </c>
      <c r="B4" s="21">
        <v>20.0</v>
      </c>
      <c r="C4" s="22" t="s">
        <v>16</v>
      </c>
      <c r="D4" s="22" t="s">
        <v>17</v>
      </c>
      <c r="E4" s="22" t="s">
        <v>18</v>
      </c>
      <c r="F4" s="23"/>
      <c r="G4" s="24">
        <v>0.17708333333333334</v>
      </c>
    </row>
    <row r="5">
      <c r="A5" s="20">
        <v>47.0</v>
      </c>
      <c r="B5" s="21">
        <v>20.0</v>
      </c>
      <c r="C5" s="22" t="s">
        <v>19</v>
      </c>
      <c r="D5" s="22" t="s">
        <v>20</v>
      </c>
      <c r="E5" s="22" t="s">
        <v>21</v>
      </c>
      <c r="F5" s="23"/>
      <c r="G5" s="24">
        <v>0.19236111111111112</v>
      </c>
    </row>
    <row r="6">
      <c r="A6" s="20">
        <v>40.0</v>
      </c>
      <c r="B6" s="21">
        <v>20.0</v>
      </c>
      <c r="C6" s="22" t="s">
        <v>22</v>
      </c>
      <c r="D6" s="22" t="s">
        <v>23</v>
      </c>
      <c r="E6" s="22" t="s">
        <v>24</v>
      </c>
      <c r="F6" s="22" t="s">
        <v>25</v>
      </c>
      <c r="G6" s="24">
        <v>0.22361111111111112</v>
      </c>
    </row>
    <row r="7">
      <c r="A7" s="20">
        <v>49.0</v>
      </c>
      <c r="B7" s="21">
        <v>20.0</v>
      </c>
      <c r="C7" s="23"/>
      <c r="D7" s="22" t="s">
        <v>26</v>
      </c>
      <c r="E7" s="23"/>
      <c r="F7" s="23"/>
      <c r="G7" s="24">
        <v>0.22777777777777777</v>
      </c>
    </row>
    <row r="8">
      <c r="A8" s="20">
        <v>50.0</v>
      </c>
      <c r="B8" s="21">
        <v>20.0</v>
      </c>
      <c r="C8" s="22" t="s">
        <v>27</v>
      </c>
      <c r="D8" s="22" t="s">
        <v>28</v>
      </c>
      <c r="E8" s="23"/>
      <c r="F8" s="23"/>
      <c r="G8" s="24">
        <v>0.22777777777777777</v>
      </c>
    </row>
    <row r="9">
      <c r="A9" s="20">
        <v>76.0</v>
      </c>
      <c r="B9" s="21">
        <v>20.0</v>
      </c>
      <c r="C9" s="22" t="s">
        <v>29</v>
      </c>
      <c r="D9" s="22" t="s">
        <v>30</v>
      </c>
      <c r="E9" s="22" t="s">
        <v>31</v>
      </c>
      <c r="F9" s="22" t="s">
        <v>32</v>
      </c>
      <c r="G9" s="24">
        <v>0.2375</v>
      </c>
    </row>
    <row r="10">
      <c r="A10" s="20">
        <v>27.0</v>
      </c>
      <c r="B10" s="21">
        <v>20.0</v>
      </c>
      <c r="C10" s="22" t="s">
        <v>33</v>
      </c>
      <c r="D10" s="22" t="s">
        <v>34</v>
      </c>
      <c r="E10" s="22" t="s">
        <v>35</v>
      </c>
      <c r="F10" s="22" t="s">
        <v>36</v>
      </c>
      <c r="G10" s="24">
        <v>0.25833333333333336</v>
      </c>
    </row>
    <row r="11">
      <c r="A11" s="20">
        <v>61.0</v>
      </c>
      <c r="B11" s="21">
        <v>20.0</v>
      </c>
      <c r="C11" s="22" t="s">
        <v>37</v>
      </c>
      <c r="D11" s="22" t="s">
        <v>38</v>
      </c>
      <c r="E11" s="22" t="s">
        <v>39</v>
      </c>
      <c r="F11" s="22" t="s">
        <v>40</v>
      </c>
      <c r="G11" s="24">
        <v>0.2590277777777778</v>
      </c>
    </row>
    <row r="12">
      <c r="A12" s="20">
        <v>25.0</v>
      </c>
      <c r="B12" s="21">
        <v>20.0</v>
      </c>
      <c r="C12" s="22" t="s">
        <v>41</v>
      </c>
      <c r="D12" s="22" t="s">
        <v>42</v>
      </c>
      <c r="E12" s="22" t="s">
        <v>43</v>
      </c>
      <c r="F12" s="23"/>
      <c r="G12" s="24">
        <v>0.2611111111111111</v>
      </c>
    </row>
    <row r="13">
      <c r="A13" s="20">
        <v>71.0</v>
      </c>
      <c r="B13" s="21">
        <v>20.0</v>
      </c>
      <c r="C13" s="22" t="s">
        <v>44</v>
      </c>
      <c r="D13" s="22" t="s">
        <v>45</v>
      </c>
      <c r="E13" s="22" t="s">
        <v>46</v>
      </c>
      <c r="F13" s="23"/>
      <c r="G13" s="24">
        <v>0.2652777777777778</v>
      </c>
    </row>
    <row r="14">
      <c r="A14" s="20">
        <v>95.0</v>
      </c>
      <c r="B14" s="21">
        <v>20.0</v>
      </c>
      <c r="C14" s="23"/>
      <c r="D14" s="22" t="s">
        <v>47</v>
      </c>
      <c r="E14" s="22" t="s">
        <v>48</v>
      </c>
      <c r="F14" s="23"/>
      <c r="G14" s="24">
        <v>0.26944444444444443</v>
      </c>
    </row>
    <row r="15">
      <c r="A15" s="20">
        <v>82.0</v>
      </c>
      <c r="B15" s="21">
        <v>20.0</v>
      </c>
      <c r="C15" s="22" t="s">
        <v>49</v>
      </c>
      <c r="D15" s="22" t="s">
        <v>50</v>
      </c>
      <c r="E15" s="22" t="s">
        <v>51</v>
      </c>
      <c r="F15" s="22" t="s">
        <v>52</v>
      </c>
      <c r="G15" s="24">
        <v>0.2708333333333333</v>
      </c>
    </row>
    <row r="16">
      <c r="A16" s="20">
        <v>34.0</v>
      </c>
      <c r="B16" s="21">
        <v>20.0</v>
      </c>
      <c r="C16" s="22" t="s">
        <v>53</v>
      </c>
      <c r="D16" s="22" t="s">
        <v>54</v>
      </c>
      <c r="E16" s="22" t="s">
        <v>55</v>
      </c>
      <c r="F16" s="23"/>
      <c r="G16" s="24">
        <v>0.27708333333333335</v>
      </c>
    </row>
    <row r="17">
      <c r="A17" s="20">
        <v>64.0</v>
      </c>
      <c r="B17" s="21">
        <v>20.0</v>
      </c>
      <c r="C17" s="22" t="s">
        <v>56</v>
      </c>
      <c r="D17" s="22" t="s">
        <v>57</v>
      </c>
      <c r="E17" s="23"/>
      <c r="F17" s="23"/>
      <c r="G17" s="24">
        <v>0.2951388888888889</v>
      </c>
    </row>
    <row r="18">
      <c r="A18" s="20">
        <v>78.0</v>
      </c>
      <c r="B18" s="21">
        <v>20.0</v>
      </c>
      <c r="C18" s="22" t="s">
        <v>58</v>
      </c>
      <c r="D18" s="22" t="s">
        <v>59</v>
      </c>
      <c r="E18" s="22" t="s">
        <v>60</v>
      </c>
      <c r="F18" s="22" t="s">
        <v>61</v>
      </c>
      <c r="G18" s="24">
        <v>0.3138888888888889</v>
      </c>
    </row>
    <row r="19">
      <c r="A19" s="20">
        <v>22.0</v>
      </c>
      <c r="B19" s="21">
        <v>20.0</v>
      </c>
      <c r="C19" s="22" t="s">
        <v>62</v>
      </c>
      <c r="D19" s="22" t="s">
        <v>63</v>
      </c>
      <c r="E19" s="22" t="s">
        <v>64</v>
      </c>
      <c r="F19" s="23"/>
      <c r="G19" s="24">
        <v>0.3229166666666667</v>
      </c>
    </row>
    <row r="20">
      <c r="A20" s="20">
        <v>37.0</v>
      </c>
      <c r="B20" s="21">
        <v>20.0</v>
      </c>
      <c r="C20" s="22" t="s">
        <v>65</v>
      </c>
      <c r="D20" s="22" t="s">
        <v>66</v>
      </c>
      <c r="E20" s="23"/>
      <c r="F20" s="23"/>
      <c r="G20" s="24">
        <v>0.3861111111111111</v>
      </c>
    </row>
    <row r="21">
      <c r="A21" s="20">
        <v>51.0</v>
      </c>
      <c r="B21" s="21">
        <v>20.0</v>
      </c>
      <c r="C21" s="22" t="s">
        <v>67</v>
      </c>
      <c r="D21" s="22" t="s">
        <v>68</v>
      </c>
      <c r="E21" s="22" t="s">
        <v>69</v>
      </c>
      <c r="F21" s="22" t="s">
        <v>70</v>
      </c>
      <c r="G21" s="24">
        <v>0.3909722222222222</v>
      </c>
    </row>
    <row r="22">
      <c r="A22" s="20">
        <v>70.0</v>
      </c>
      <c r="B22" s="21">
        <v>20.0</v>
      </c>
      <c r="C22" s="22" t="s">
        <v>71</v>
      </c>
      <c r="D22" s="22" t="s">
        <v>72</v>
      </c>
      <c r="E22" s="22" t="s">
        <v>73</v>
      </c>
      <c r="F22" s="22" t="s">
        <v>74</v>
      </c>
      <c r="G22" s="24">
        <v>0.3909722222222222</v>
      </c>
    </row>
    <row r="23">
      <c r="A23" s="20">
        <v>92.0</v>
      </c>
      <c r="B23" s="21">
        <v>20.0</v>
      </c>
      <c r="C23" s="23"/>
      <c r="D23" s="22" t="s">
        <v>75</v>
      </c>
      <c r="E23" s="22" t="s">
        <v>76</v>
      </c>
      <c r="F23" s="23"/>
      <c r="G23" s="22" t="e">
        <v>#N/A</v>
      </c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17" t="s">
        <v>0</v>
      </c>
      <c r="B1" s="18" t="s">
        <v>1</v>
      </c>
      <c r="C1" s="18" t="s">
        <v>2</v>
      </c>
      <c r="D1" s="18" t="s">
        <v>3</v>
      </c>
      <c r="E1" s="18" t="s">
        <v>4</v>
      </c>
      <c r="F1" s="18" t="s">
        <v>5</v>
      </c>
      <c r="G1" s="19" t="s">
        <v>9</v>
      </c>
    </row>
    <row r="2">
      <c r="A2" s="20">
        <v>21.0</v>
      </c>
      <c r="B2" s="25">
        <v>35.0</v>
      </c>
      <c r="C2" s="22" t="s">
        <v>77</v>
      </c>
      <c r="D2" s="22" t="s">
        <v>78</v>
      </c>
      <c r="E2" s="23"/>
      <c r="F2" s="23"/>
      <c r="G2" s="24">
        <v>0.20277777777777778</v>
      </c>
    </row>
    <row r="3">
      <c r="A3" s="20">
        <v>66.0</v>
      </c>
      <c r="B3" s="25">
        <v>35.0</v>
      </c>
      <c r="C3" s="22" t="s">
        <v>79</v>
      </c>
      <c r="D3" s="22" t="s">
        <v>80</v>
      </c>
      <c r="E3" s="22" t="s">
        <v>81</v>
      </c>
      <c r="F3" s="23"/>
      <c r="G3" s="24">
        <v>0.25416666666666665</v>
      </c>
    </row>
    <row r="4">
      <c r="A4" s="20">
        <v>45.0</v>
      </c>
      <c r="B4" s="25">
        <v>35.0</v>
      </c>
      <c r="C4" s="22" t="s">
        <v>82</v>
      </c>
      <c r="D4" s="22" t="s">
        <v>83</v>
      </c>
      <c r="E4" s="23"/>
      <c r="F4" s="23"/>
      <c r="G4" s="24">
        <v>0.2569444444444444</v>
      </c>
    </row>
    <row r="5">
      <c r="A5" s="20">
        <v>24.0</v>
      </c>
      <c r="B5" s="25">
        <v>35.0</v>
      </c>
      <c r="C5" s="22" t="s">
        <v>84</v>
      </c>
      <c r="D5" s="22" t="s">
        <v>85</v>
      </c>
      <c r="E5" s="22" t="s">
        <v>86</v>
      </c>
      <c r="F5" s="23"/>
      <c r="G5" s="24">
        <v>0.2763888888888889</v>
      </c>
    </row>
    <row r="6">
      <c r="A6" s="20">
        <v>97.0</v>
      </c>
      <c r="B6" s="25">
        <v>35.0</v>
      </c>
      <c r="C6" s="23"/>
      <c r="D6" s="22" t="s">
        <v>87</v>
      </c>
      <c r="E6" s="23"/>
      <c r="F6" s="23"/>
      <c r="G6" s="24">
        <v>0.30625</v>
      </c>
    </row>
    <row r="7">
      <c r="A7" s="20">
        <v>98.0</v>
      </c>
      <c r="B7" s="25">
        <v>35.0</v>
      </c>
      <c r="C7" s="22" t="s">
        <v>88</v>
      </c>
      <c r="D7" s="22" t="s">
        <v>89</v>
      </c>
      <c r="E7" s="23"/>
      <c r="F7" s="23"/>
      <c r="G7" s="24">
        <v>0.30625</v>
      </c>
    </row>
    <row r="8">
      <c r="A8" s="20">
        <v>23.0</v>
      </c>
      <c r="B8" s="25">
        <v>35.0</v>
      </c>
      <c r="C8" s="22" t="s">
        <v>90</v>
      </c>
      <c r="D8" s="22" t="s">
        <v>91</v>
      </c>
      <c r="E8" s="22" t="s">
        <v>92</v>
      </c>
      <c r="F8" s="22" t="s">
        <v>93</v>
      </c>
      <c r="G8" s="24">
        <v>0.34930555555555554</v>
      </c>
    </row>
    <row r="9">
      <c r="A9" s="20">
        <v>52.0</v>
      </c>
      <c r="B9" s="25">
        <v>35.0</v>
      </c>
      <c r="C9" s="22" t="s">
        <v>94</v>
      </c>
      <c r="D9" s="22" t="s">
        <v>95</v>
      </c>
      <c r="E9" s="23"/>
      <c r="F9" s="23"/>
      <c r="G9" s="24">
        <v>0.36041666666666666</v>
      </c>
    </row>
    <row r="10">
      <c r="A10" s="20">
        <v>68.0</v>
      </c>
      <c r="B10" s="25">
        <v>35.0</v>
      </c>
      <c r="C10" s="22" t="s">
        <v>96</v>
      </c>
      <c r="D10" s="22" t="s">
        <v>97</v>
      </c>
      <c r="E10" s="22" t="s">
        <v>98</v>
      </c>
      <c r="F10" s="23"/>
      <c r="G10" s="24">
        <v>0.38958333333333334</v>
      </c>
    </row>
    <row r="11">
      <c r="A11" s="20">
        <v>81.0</v>
      </c>
      <c r="B11" s="25">
        <v>35.0</v>
      </c>
      <c r="C11" s="22" t="s">
        <v>99</v>
      </c>
      <c r="D11" s="22" t="s">
        <v>100</v>
      </c>
      <c r="E11" s="22" t="s">
        <v>101</v>
      </c>
      <c r="F11" s="23"/>
      <c r="G11" s="24">
        <v>0.38958333333333334</v>
      </c>
    </row>
    <row r="12">
      <c r="A12" s="20">
        <v>1.0</v>
      </c>
      <c r="B12" s="25">
        <v>35.0</v>
      </c>
      <c r="C12" s="22" t="s">
        <v>102</v>
      </c>
      <c r="D12" s="22" t="s">
        <v>103</v>
      </c>
      <c r="E12" s="22" t="s">
        <v>104</v>
      </c>
      <c r="F12" s="23"/>
      <c r="G12" s="24">
        <v>0.4013888888888889</v>
      </c>
    </row>
    <row r="13">
      <c r="A13" s="20">
        <v>65.0</v>
      </c>
      <c r="B13" s="25">
        <v>35.0</v>
      </c>
      <c r="C13" s="22" t="s">
        <v>105</v>
      </c>
      <c r="D13" s="22" t="s">
        <v>106</v>
      </c>
      <c r="E13" s="22" t="s">
        <v>107</v>
      </c>
      <c r="F13" s="22" t="s">
        <v>108</v>
      </c>
      <c r="G13" s="24">
        <v>0.4166666666666667</v>
      </c>
    </row>
    <row r="14">
      <c r="A14" s="20">
        <v>74.0</v>
      </c>
      <c r="B14" s="25">
        <v>35.0</v>
      </c>
      <c r="C14" s="22" t="s">
        <v>109</v>
      </c>
      <c r="D14" s="22" t="s">
        <v>110</v>
      </c>
      <c r="E14" s="22" t="s">
        <v>111</v>
      </c>
      <c r="F14" s="23"/>
      <c r="G14" s="24">
        <v>0.42430555555555555</v>
      </c>
    </row>
    <row r="15">
      <c r="A15" s="20">
        <v>83.0</v>
      </c>
      <c r="B15" s="25">
        <v>35.0</v>
      </c>
      <c r="C15" s="22" t="s">
        <v>112</v>
      </c>
      <c r="D15" s="22" t="s">
        <v>113</v>
      </c>
      <c r="E15" s="23"/>
      <c r="F15" s="23"/>
      <c r="G15" s="24">
        <v>0.4305555555555556</v>
      </c>
    </row>
    <row r="16">
      <c r="A16" s="20">
        <v>6.0</v>
      </c>
      <c r="B16" s="25">
        <v>35.0</v>
      </c>
      <c r="C16" s="22" t="s">
        <v>114</v>
      </c>
      <c r="D16" s="22" t="s">
        <v>115</v>
      </c>
      <c r="E16" s="22" t="s">
        <v>116</v>
      </c>
      <c r="F16" s="22" t="s">
        <v>117</v>
      </c>
      <c r="G16" s="24">
        <v>0.4444444444444444</v>
      </c>
    </row>
    <row r="17">
      <c r="A17" s="20">
        <v>91.0</v>
      </c>
      <c r="B17" s="25">
        <v>35.0</v>
      </c>
      <c r="C17" s="22" t="s">
        <v>118</v>
      </c>
      <c r="D17" s="22" t="s">
        <v>119</v>
      </c>
      <c r="E17" s="22" t="s">
        <v>120</v>
      </c>
      <c r="F17" s="23"/>
      <c r="G17" s="24">
        <v>0.45</v>
      </c>
    </row>
    <row r="18">
      <c r="A18" s="20">
        <v>79.0</v>
      </c>
      <c r="B18" s="25">
        <v>35.0</v>
      </c>
      <c r="C18" s="22" t="s">
        <v>121</v>
      </c>
      <c r="D18" s="22" t="s">
        <v>122</v>
      </c>
      <c r="E18" s="22" t="s">
        <v>123</v>
      </c>
      <c r="F18" s="23"/>
      <c r="G18" s="24">
        <v>0.4527777777777778</v>
      </c>
    </row>
    <row r="19">
      <c r="A19" s="20">
        <v>59.0</v>
      </c>
      <c r="B19" s="25">
        <v>35.0</v>
      </c>
      <c r="C19" s="22" t="s">
        <v>124</v>
      </c>
      <c r="D19" s="22" t="s">
        <v>125</v>
      </c>
      <c r="E19" s="22" t="s">
        <v>126</v>
      </c>
      <c r="F19" s="22" t="s">
        <v>127</v>
      </c>
      <c r="G19" s="24">
        <v>0.48541666666666666</v>
      </c>
    </row>
    <row r="20">
      <c r="A20" s="20">
        <v>20.0</v>
      </c>
      <c r="B20" s="25">
        <v>35.0</v>
      </c>
      <c r="C20" s="23"/>
      <c r="D20" s="22" t="s">
        <v>128</v>
      </c>
      <c r="E20" s="22" t="s">
        <v>129</v>
      </c>
      <c r="F20" s="23"/>
      <c r="G20" s="22" t="e">
        <v>#N/A</v>
      </c>
    </row>
    <row r="21">
      <c r="A21" s="20">
        <v>31.0</v>
      </c>
      <c r="B21" s="25">
        <v>35.0</v>
      </c>
      <c r="C21" s="22" t="s">
        <v>130</v>
      </c>
      <c r="D21" s="22" t="s">
        <v>131</v>
      </c>
      <c r="E21" s="23"/>
      <c r="F21" s="23"/>
      <c r="G21" s="23"/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17" t="s">
        <v>0</v>
      </c>
      <c r="B1" s="18" t="s">
        <v>1</v>
      </c>
      <c r="C1" s="18" t="s">
        <v>2</v>
      </c>
      <c r="D1" s="18" t="s">
        <v>3</v>
      </c>
      <c r="E1" s="18" t="s">
        <v>4</v>
      </c>
      <c r="F1" s="18" t="s">
        <v>5</v>
      </c>
      <c r="G1" s="19" t="s">
        <v>9</v>
      </c>
    </row>
    <row r="2">
      <c r="A2" s="20">
        <v>43.0</v>
      </c>
      <c r="B2" s="26">
        <v>45.0</v>
      </c>
      <c r="C2" s="22" t="s">
        <v>132</v>
      </c>
      <c r="D2" s="22" t="s">
        <v>133</v>
      </c>
      <c r="E2" s="23"/>
      <c r="F2" s="23"/>
      <c r="G2" s="24">
        <v>0.3055555555555556</v>
      </c>
    </row>
    <row r="3">
      <c r="A3" s="20">
        <v>48.0</v>
      </c>
      <c r="B3" s="26">
        <v>45.0</v>
      </c>
      <c r="C3" s="22" t="s">
        <v>134</v>
      </c>
      <c r="D3" s="22" t="s">
        <v>135</v>
      </c>
      <c r="E3" s="23"/>
      <c r="F3" s="23"/>
      <c r="G3" s="24">
        <v>0.31319444444444444</v>
      </c>
    </row>
    <row r="4">
      <c r="A4" s="20">
        <v>10.0</v>
      </c>
      <c r="B4" s="26">
        <v>45.0</v>
      </c>
      <c r="C4" s="22" t="s">
        <v>136</v>
      </c>
      <c r="D4" s="22" t="s">
        <v>137</v>
      </c>
      <c r="E4" s="22" t="s">
        <v>138</v>
      </c>
      <c r="F4" s="23"/>
      <c r="G4" s="24">
        <v>0.33402777777777776</v>
      </c>
    </row>
    <row r="5">
      <c r="A5" s="20">
        <v>90.0</v>
      </c>
      <c r="B5" s="26">
        <v>45.0</v>
      </c>
      <c r="C5" s="23"/>
      <c r="D5" s="22" t="s">
        <v>139</v>
      </c>
      <c r="E5" s="23"/>
      <c r="F5" s="23"/>
      <c r="G5" s="24">
        <v>0.3347222222222222</v>
      </c>
    </row>
    <row r="6">
      <c r="A6" s="20">
        <v>96.0</v>
      </c>
      <c r="B6" s="26">
        <v>45.0</v>
      </c>
      <c r="C6" s="23"/>
      <c r="D6" s="22" t="s">
        <v>140</v>
      </c>
      <c r="E6" s="23"/>
      <c r="F6" s="23"/>
      <c r="G6" s="24">
        <v>0.36180555555555555</v>
      </c>
    </row>
    <row r="7">
      <c r="A7" s="20">
        <v>14.0</v>
      </c>
      <c r="B7" s="26">
        <v>45.0</v>
      </c>
      <c r="C7" s="22" t="s">
        <v>141</v>
      </c>
      <c r="D7" s="22" t="s">
        <v>142</v>
      </c>
      <c r="E7" s="22" t="s">
        <v>143</v>
      </c>
      <c r="F7" s="23"/>
      <c r="G7" s="24">
        <v>0.3659722222222222</v>
      </c>
    </row>
    <row r="8">
      <c r="A8" s="20">
        <v>33.0</v>
      </c>
      <c r="B8" s="26">
        <v>45.0</v>
      </c>
      <c r="C8" s="22" t="s">
        <v>144</v>
      </c>
      <c r="D8" s="22" t="s">
        <v>145</v>
      </c>
      <c r="E8" s="23"/>
      <c r="F8" s="23"/>
      <c r="G8" s="24">
        <v>0.36875</v>
      </c>
    </row>
    <row r="9">
      <c r="A9" s="20">
        <v>89.0</v>
      </c>
      <c r="B9" s="26">
        <v>45.0</v>
      </c>
      <c r="C9" s="23"/>
      <c r="D9" s="22" t="s">
        <v>146</v>
      </c>
      <c r="E9" s="23"/>
      <c r="F9" s="23"/>
      <c r="G9" s="24">
        <v>0.3701388888888889</v>
      </c>
    </row>
    <row r="10">
      <c r="A10" s="20">
        <v>93.0</v>
      </c>
      <c r="B10" s="26">
        <v>45.0</v>
      </c>
      <c r="C10" s="23"/>
      <c r="D10" s="22" t="s">
        <v>147</v>
      </c>
      <c r="E10" s="22" t="s">
        <v>148</v>
      </c>
      <c r="F10" s="22" t="s">
        <v>149</v>
      </c>
      <c r="G10" s="24">
        <v>0.39166666666666666</v>
      </c>
    </row>
    <row r="11">
      <c r="A11" s="20">
        <v>55.0</v>
      </c>
      <c r="B11" s="26">
        <v>45.0</v>
      </c>
      <c r="C11" s="22" t="s">
        <v>150</v>
      </c>
      <c r="D11" s="22" t="s">
        <v>151</v>
      </c>
      <c r="E11" s="23"/>
      <c r="F11" s="23"/>
      <c r="G11" s="24">
        <v>0.39375</v>
      </c>
    </row>
    <row r="12">
      <c r="A12" s="20">
        <v>53.0</v>
      </c>
      <c r="B12" s="26">
        <v>45.0</v>
      </c>
      <c r="C12" s="22" t="s">
        <v>152</v>
      </c>
      <c r="D12" s="22" t="s">
        <v>153</v>
      </c>
      <c r="E12" s="22" t="s">
        <v>154</v>
      </c>
      <c r="F12" s="22" t="s">
        <v>155</v>
      </c>
      <c r="G12" s="24">
        <v>0.39861111111111114</v>
      </c>
    </row>
    <row r="13">
      <c r="A13" s="20">
        <v>88.0</v>
      </c>
      <c r="B13" s="26">
        <v>45.0</v>
      </c>
      <c r="C13" s="23"/>
      <c r="D13" s="22" t="s">
        <v>156</v>
      </c>
      <c r="E13" s="23"/>
      <c r="F13" s="23"/>
      <c r="G13" s="24">
        <v>0.40555555555555556</v>
      </c>
    </row>
    <row r="14">
      <c r="A14" s="20">
        <v>9.0</v>
      </c>
      <c r="B14" s="26">
        <v>45.0</v>
      </c>
      <c r="C14" s="22" t="s">
        <v>157</v>
      </c>
      <c r="D14" s="22" t="s">
        <v>158</v>
      </c>
      <c r="E14" s="23"/>
      <c r="F14" s="23"/>
      <c r="G14" s="24">
        <v>0.4375</v>
      </c>
    </row>
    <row r="15">
      <c r="A15" s="20">
        <v>32.0</v>
      </c>
      <c r="B15" s="26">
        <v>45.0</v>
      </c>
      <c r="C15" s="22" t="s">
        <v>159</v>
      </c>
      <c r="D15" s="22" t="s">
        <v>160</v>
      </c>
      <c r="E15" s="23"/>
      <c r="F15" s="23"/>
      <c r="G15" s="24">
        <v>0.4388888888888889</v>
      </c>
    </row>
    <row r="16">
      <c r="A16" s="20">
        <v>13.0</v>
      </c>
      <c r="B16" s="26">
        <v>45.0</v>
      </c>
      <c r="C16" s="22" t="s">
        <v>161</v>
      </c>
      <c r="D16" s="22" t="s">
        <v>162</v>
      </c>
      <c r="E16" s="22" t="s">
        <v>163</v>
      </c>
      <c r="F16" s="23"/>
      <c r="G16" s="24">
        <v>0.44583333333333336</v>
      </c>
    </row>
    <row r="17">
      <c r="A17" s="20">
        <v>80.0</v>
      </c>
      <c r="B17" s="26">
        <v>45.0</v>
      </c>
      <c r="C17" s="23"/>
      <c r="D17" s="22" t="s">
        <v>164</v>
      </c>
      <c r="E17" s="23"/>
      <c r="F17" s="23"/>
      <c r="G17" s="24">
        <v>0.45902777777777776</v>
      </c>
    </row>
    <row r="18">
      <c r="A18" s="20">
        <v>12.0</v>
      </c>
      <c r="B18" s="26">
        <v>45.0</v>
      </c>
      <c r="C18" s="22" t="s">
        <v>165</v>
      </c>
      <c r="D18" s="22" t="s">
        <v>166</v>
      </c>
      <c r="E18" s="23"/>
      <c r="F18" s="23"/>
      <c r="G18" s="24">
        <v>0.47430555555555554</v>
      </c>
    </row>
    <row r="19">
      <c r="A19" s="20">
        <v>69.0</v>
      </c>
      <c r="B19" s="26">
        <v>45.0</v>
      </c>
      <c r="C19" s="23"/>
      <c r="D19" s="22" t="s">
        <v>167</v>
      </c>
      <c r="E19" s="23"/>
      <c r="F19" s="23"/>
      <c r="G19" s="24">
        <v>0.5041666666666667</v>
      </c>
    </row>
    <row r="20">
      <c r="A20" s="20">
        <v>84.0</v>
      </c>
      <c r="B20" s="26">
        <v>45.0</v>
      </c>
      <c r="C20" s="22" t="s">
        <v>168</v>
      </c>
      <c r="D20" s="22" t="s">
        <v>169</v>
      </c>
      <c r="E20" s="23"/>
      <c r="F20" s="23"/>
      <c r="G20" s="24">
        <v>0.5055555555555555</v>
      </c>
    </row>
    <row r="21">
      <c r="A21" s="20">
        <v>94.0</v>
      </c>
      <c r="B21" s="26">
        <v>45.0</v>
      </c>
      <c r="C21" s="22" t="s">
        <v>170</v>
      </c>
      <c r="D21" s="22" t="s">
        <v>171</v>
      </c>
      <c r="E21" s="22" t="s">
        <v>172</v>
      </c>
      <c r="F21" s="23"/>
      <c r="G21" s="24">
        <v>0.5215277777777778</v>
      </c>
    </row>
    <row r="22">
      <c r="A22" s="20">
        <v>54.0</v>
      </c>
      <c r="B22" s="26">
        <v>45.0</v>
      </c>
      <c r="C22" s="22" t="s">
        <v>173</v>
      </c>
      <c r="D22" s="22" t="s">
        <v>174</v>
      </c>
      <c r="E22" s="22" t="s">
        <v>175</v>
      </c>
      <c r="F22" s="22" t="s">
        <v>176</v>
      </c>
      <c r="G22" s="22" t="e">
        <v>#N/A</v>
      </c>
    </row>
  </sheetData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17" t="s">
        <v>0</v>
      </c>
      <c r="B1" s="27" t="s">
        <v>1</v>
      </c>
      <c r="C1" s="27" t="s">
        <v>2</v>
      </c>
      <c r="D1" s="27" t="s">
        <v>3</v>
      </c>
      <c r="E1" s="27" t="s">
        <v>4</v>
      </c>
      <c r="F1" s="27" t="s">
        <v>5</v>
      </c>
      <c r="G1" s="19" t="s">
        <v>9</v>
      </c>
    </row>
    <row r="2">
      <c r="A2" s="20">
        <v>35.0</v>
      </c>
      <c r="B2" s="28">
        <v>65.0</v>
      </c>
      <c r="C2" s="22" t="s">
        <v>177</v>
      </c>
      <c r="D2" s="22" t="s">
        <v>178</v>
      </c>
      <c r="E2" s="23"/>
      <c r="F2" s="23"/>
      <c r="G2" s="24">
        <v>0.44722222222222224</v>
      </c>
    </row>
    <row r="3">
      <c r="A3" s="20">
        <v>60.0</v>
      </c>
      <c r="B3" s="28">
        <v>65.0</v>
      </c>
      <c r="C3" s="29"/>
      <c r="D3" s="22" t="s">
        <v>179</v>
      </c>
      <c r="E3" s="23"/>
      <c r="F3" s="23"/>
      <c r="G3" s="24">
        <v>0.4576388888888889</v>
      </c>
    </row>
    <row r="4">
      <c r="A4" s="20">
        <v>30.0</v>
      </c>
      <c r="B4" s="28">
        <v>65.0</v>
      </c>
      <c r="C4" s="22" t="s">
        <v>180</v>
      </c>
      <c r="D4" s="22" t="s">
        <v>181</v>
      </c>
      <c r="E4" s="29"/>
      <c r="F4" s="23"/>
      <c r="G4" s="24">
        <v>0.5180555555555556</v>
      </c>
    </row>
    <row r="5">
      <c r="A5" s="20">
        <v>26.0</v>
      </c>
      <c r="B5" s="28">
        <v>65.0</v>
      </c>
      <c r="C5" s="22" t="s">
        <v>182</v>
      </c>
      <c r="D5" s="22" t="s">
        <v>183</v>
      </c>
      <c r="E5" s="23"/>
      <c r="F5" s="23"/>
      <c r="G5" s="24">
        <v>0.5840277777777778</v>
      </c>
    </row>
    <row r="6">
      <c r="A6" s="20">
        <v>72.0</v>
      </c>
      <c r="B6" s="28">
        <v>65.0</v>
      </c>
      <c r="C6" s="30" t="s">
        <v>184</v>
      </c>
      <c r="D6" s="30" t="s">
        <v>185</v>
      </c>
      <c r="E6" s="30" t="s">
        <v>186</v>
      </c>
      <c r="F6" s="31"/>
      <c r="G6" s="24">
        <v>0.6340277777777777</v>
      </c>
    </row>
    <row r="7">
      <c r="A7" s="32">
        <v>63.0</v>
      </c>
      <c r="B7" s="28">
        <v>65.0</v>
      </c>
      <c r="C7" s="33"/>
      <c r="D7" s="30" t="s">
        <v>187</v>
      </c>
      <c r="E7" s="33"/>
      <c r="F7" s="31"/>
      <c r="G7" s="24">
        <v>0.6840277777777778</v>
      </c>
    </row>
    <row r="8">
      <c r="A8" s="32">
        <v>44.0</v>
      </c>
      <c r="B8" s="28">
        <v>65.0</v>
      </c>
      <c r="C8" s="33"/>
      <c r="D8" s="30" t="s">
        <v>188</v>
      </c>
      <c r="E8" s="31"/>
      <c r="F8" s="31"/>
      <c r="G8" s="24">
        <v>0.6875</v>
      </c>
    </row>
    <row r="9">
      <c r="A9" s="32">
        <v>19.0</v>
      </c>
      <c r="B9" s="28">
        <v>65.0</v>
      </c>
      <c r="C9" s="30" t="s">
        <v>189</v>
      </c>
      <c r="D9" s="30" t="s">
        <v>190</v>
      </c>
      <c r="E9" s="30" t="s">
        <v>191</v>
      </c>
      <c r="F9" s="31"/>
      <c r="G9" s="24">
        <v>0.7048611111111112</v>
      </c>
    </row>
    <row r="10">
      <c r="A10" s="32">
        <v>75.0</v>
      </c>
      <c r="B10" s="28">
        <v>65.0</v>
      </c>
      <c r="C10" s="31"/>
      <c r="D10" s="30" t="s">
        <v>192</v>
      </c>
      <c r="E10" s="33"/>
      <c r="F10" s="33"/>
      <c r="G10" s="24">
        <v>0.7208333333333333</v>
      </c>
    </row>
    <row r="11">
      <c r="A11" s="32">
        <v>39.0</v>
      </c>
      <c r="B11" s="28">
        <v>65.0</v>
      </c>
      <c r="C11" s="30" t="s">
        <v>193</v>
      </c>
      <c r="D11" s="30" t="s">
        <v>194</v>
      </c>
      <c r="E11" s="31"/>
      <c r="F11" s="31"/>
      <c r="G11" s="24">
        <v>0.7472222222222222</v>
      </c>
    </row>
    <row r="12">
      <c r="A12" s="20">
        <v>42.0</v>
      </c>
      <c r="B12" s="28">
        <v>65.0</v>
      </c>
      <c r="C12" s="30" t="s">
        <v>195</v>
      </c>
      <c r="D12" s="30" t="s">
        <v>196</v>
      </c>
      <c r="E12" s="30" t="s">
        <v>197</v>
      </c>
      <c r="F12" s="33"/>
      <c r="G12" s="24">
        <v>0.8069444444444445</v>
      </c>
    </row>
    <row r="13">
      <c r="A13" s="20">
        <v>28.0</v>
      </c>
      <c r="B13" s="28">
        <v>65.0</v>
      </c>
      <c r="C13" s="30" t="s">
        <v>198</v>
      </c>
      <c r="D13" s="30" t="s">
        <v>199</v>
      </c>
      <c r="E13" s="31"/>
      <c r="F13" s="31"/>
      <c r="G13" s="24">
        <v>0.9541666666666667</v>
      </c>
    </row>
    <row r="14">
      <c r="A14" s="20">
        <v>57.0</v>
      </c>
      <c r="B14" s="28">
        <v>65.0</v>
      </c>
      <c r="C14" s="22" t="s">
        <v>200</v>
      </c>
      <c r="D14" s="22" t="s">
        <v>201</v>
      </c>
      <c r="E14" s="23"/>
      <c r="F14" s="23"/>
      <c r="G14" s="24">
        <v>0.9979166666666667</v>
      </c>
    </row>
    <row r="15">
      <c r="A15" s="20">
        <v>16.0</v>
      </c>
      <c r="B15" s="28">
        <v>65.0</v>
      </c>
      <c r="C15" s="22" t="s">
        <v>202</v>
      </c>
      <c r="D15" s="22" t="s">
        <v>203</v>
      </c>
      <c r="E15" s="23"/>
      <c r="F15" s="23"/>
      <c r="G15" s="22" t="e">
        <v>#N/A</v>
      </c>
    </row>
    <row r="16">
      <c r="A16" s="20">
        <v>36.0</v>
      </c>
      <c r="B16" s="28">
        <v>65.0</v>
      </c>
      <c r="C16" s="29"/>
      <c r="D16" s="22" t="s">
        <v>117</v>
      </c>
      <c r="E16" s="22" t="s">
        <v>204</v>
      </c>
      <c r="F16" s="23"/>
      <c r="G16" s="22" t="e">
        <v>#VALUE!</v>
      </c>
    </row>
  </sheetData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17" t="s">
        <v>0</v>
      </c>
      <c r="B1" s="18" t="s">
        <v>1</v>
      </c>
      <c r="C1" s="18" t="s">
        <v>2</v>
      </c>
      <c r="D1" s="18" t="s">
        <v>3</v>
      </c>
      <c r="E1" s="18" t="s">
        <v>4</v>
      </c>
      <c r="F1" s="18" t="s">
        <v>5</v>
      </c>
      <c r="G1" s="19" t="s">
        <v>9</v>
      </c>
    </row>
    <row r="2">
      <c r="A2" s="20">
        <v>7.0</v>
      </c>
      <c r="B2" s="34">
        <v>100.0</v>
      </c>
      <c r="C2" s="22" t="s">
        <v>205</v>
      </c>
      <c r="D2" s="22" t="s">
        <v>206</v>
      </c>
      <c r="E2" s="23"/>
      <c r="F2" s="23"/>
      <c r="G2" s="24">
        <v>0.5451388888888888</v>
      </c>
      <c r="H2" s="35" t="s">
        <v>207</v>
      </c>
    </row>
    <row r="3">
      <c r="A3" s="20">
        <v>3.0</v>
      </c>
      <c r="B3" s="34">
        <v>100.0</v>
      </c>
      <c r="C3" s="23"/>
      <c r="D3" s="22" t="s">
        <v>208</v>
      </c>
      <c r="E3" s="23"/>
      <c r="F3" s="23"/>
      <c r="G3" s="24">
        <v>0.5506944444444445</v>
      </c>
      <c r="H3" s="35" t="s">
        <v>207</v>
      </c>
    </row>
    <row r="4">
      <c r="A4" s="32">
        <v>29.0</v>
      </c>
      <c r="B4" s="34">
        <v>100.0</v>
      </c>
      <c r="C4" s="30" t="s">
        <v>209</v>
      </c>
      <c r="D4" s="30" t="s">
        <v>210</v>
      </c>
      <c r="E4" s="31"/>
      <c r="F4" s="31"/>
      <c r="G4" s="24">
        <v>0.5895833333333333</v>
      </c>
      <c r="H4" s="35" t="s">
        <v>207</v>
      </c>
    </row>
    <row r="5">
      <c r="A5" s="32">
        <v>11.0</v>
      </c>
      <c r="B5" s="34">
        <v>100.0</v>
      </c>
      <c r="C5" s="30" t="s">
        <v>211</v>
      </c>
      <c r="D5" s="30" t="s">
        <v>212</v>
      </c>
      <c r="E5" s="30" t="s">
        <v>213</v>
      </c>
      <c r="F5" s="31"/>
      <c r="G5" s="24">
        <v>0.6354166666666666</v>
      </c>
      <c r="H5" s="35" t="s">
        <v>207</v>
      </c>
    </row>
    <row r="6">
      <c r="A6" s="32">
        <v>18.0</v>
      </c>
      <c r="B6" s="34">
        <v>100.0</v>
      </c>
      <c r="C6" s="30" t="s">
        <v>214</v>
      </c>
      <c r="D6" s="30" t="s">
        <v>215</v>
      </c>
      <c r="E6" s="31"/>
      <c r="F6" s="31"/>
      <c r="G6" s="24">
        <v>0.6840277777777778</v>
      </c>
      <c r="H6" s="35" t="s">
        <v>207</v>
      </c>
    </row>
    <row r="7">
      <c r="A7" s="32">
        <v>5.0</v>
      </c>
      <c r="B7" s="34">
        <v>100.0</v>
      </c>
      <c r="C7" s="30" t="s">
        <v>216</v>
      </c>
      <c r="D7" s="30" t="s">
        <v>217</v>
      </c>
      <c r="E7" s="31"/>
      <c r="F7" s="31"/>
      <c r="G7" s="24">
        <v>0.6965277777777777</v>
      </c>
      <c r="H7" s="35" t="s">
        <v>207</v>
      </c>
    </row>
    <row r="8">
      <c r="A8" s="32">
        <v>15.0</v>
      </c>
      <c r="B8" s="34">
        <v>100.0</v>
      </c>
      <c r="C8" s="30" t="s">
        <v>218</v>
      </c>
      <c r="D8" s="30" t="s">
        <v>219</v>
      </c>
      <c r="E8" s="31"/>
      <c r="F8" s="31"/>
      <c r="G8" s="24">
        <v>0.7395833333333334</v>
      </c>
      <c r="H8" s="35" t="s">
        <v>207</v>
      </c>
    </row>
    <row r="9">
      <c r="A9" s="32">
        <v>4.0</v>
      </c>
      <c r="B9" s="34">
        <v>100.0</v>
      </c>
      <c r="C9" s="30" t="s">
        <v>220</v>
      </c>
      <c r="D9" s="30" t="s">
        <v>221</v>
      </c>
      <c r="E9" s="31"/>
      <c r="F9" s="31"/>
      <c r="G9" s="24">
        <v>0.7611111111111111</v>
      </c>
    </row>
    <row r="10">
      <c r="A10" s="32">
        <v>58.0</v>
      </c>
      <c r="B10" s="34">
        <v>100.0</v>
      </c>
      <c r="C10" s="31"/>
      <c r="D10" s="30" t="s">
        <v>222</v>
      </c>
      <c r="E10" s="31"/>
      <c r="F10" s="31"/>
      <c r="G10" s="24">
        <v>0.7618055555555555</v>
      </c>
    </row>
    <row r="11">
      <c r="A11" s="32">
        <v>2.0</v>
      </c>
      <c r="B11" s="34">
        <v>100.0</v>
      </c>
      <c r="C11" s="30" t="s">
        <v>223</v>
      </c>
      <c r="D11" s="30" t="s">
        <v>224</v>
      </c>
      <c r="E11" s="31"/>
      <c r="F11" s="31"/>
      <c r="G11" s="24">
        <v>0.8430555555555556</v>
      </c>
    </row>
    <row r="12">
      <c r="A12" s="32">
        <v>17.0</v>
      </c>
      <c r="B12" s="34">
        <v>100.0</v>
      </c>
      <c r="C12" s="30" t="s">
        <v>225</v>
      </c>
      <c r="D12" s="30" t="s">
        <v>226</v>
      </c>
      <c r="E12" s="31"/>
      <c r="F12" s="31"/>
      <c r="G12" s="36">
        <v>1.0215277777777778</v>
      </c>
    </row>
  </sheetData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7.86"/>
    <col customWidth="1" min="2" max="2" width="24.29"/>
    <col customWidth="1" min="3" max="3" width="27.57"/>
    <col customWidth="1" min="4" max="4" width="32.43"/>
    <col customWidth="1" min="5" max="5" width="34.29"/>
    <col customWidth="1" min="6" max="6" width="28.0"/>
  </cols>
  <sheetData>
    <row r="1">
      <c r="A1" s="37"/>
      <c r="B1" s="38"/>
      <c r="C1" s="38"/>
      <c r="D1" s="38"/>
      <c r="E1" s="38"/>
      <c r="F1" s="38"/>
      <c r="G1" s="39"/>
    </row>
    <row r="2">
      <c r="A2" s="40" t="str">
        <f>IFERROR(__xludf.DUMMYFUNCTION("IMPORTRANGE(""https://docs.google.com/spreadsheets/d/1TKFBNsLkHZBeIYPV3Hoa5hIo8GebxIPiXOOFdD8Yduw/edit#gid=2124158990"",""регистрация!c1:i100"")"),"Номер команды")</f>
        <v>Номер команды</v>
      </c>
      <c r="B2" s="3" t="str">
        <f>IFERROR(__xludf.DUMMYFUNCTION("""COMPUTED_VALUE"""),"Дистанция")</f>
        <v>Дистанция</v>
      </c>
      <c r="C2" s="3" t="str">
        <f>IFERROR(__xludf.DUMMYFUNCTION("""COMPUTED_VALUE"""),"Название команды")</f>
        <v>Название команды</v>
      </c>
      <c r="D2" s="3" t="str">
        <f>IFERROR(__xludf.DUMMYFUNCTION("""COMPUTED_VALUE"""),"Первый (капитан). ФИО полностью")</f>
        <v>Первый (капитан). ФИО полностью</v>
      </c>
      <c r="E2" s="3" t="str">
        <f>IFERROR(__xludf.DUMMYFUNCTION("""COMPUTED_VALUE"""),"Второй")</f>
        <v>Второй</v>
      </c>
      <c r="F2" s="3" t="str">
        <f>IFERROR(__xludf.DUMMYFUNCTION("""COMPUTED_VALUE"""),"Третий")</f>
        <v>Третий</v>
      </c>
      <c r="G2" s="3" t="str">
        <f>IFERROR(__xludf.DUMMYFUNCTION("""COMPUTED_VALUE"""),"Заявка")</f>
        <v>Заявка</v>
      </c>
    </row>
    <row r="3">
      <c r="A3" s="3">
        <f>IFERROR(__xludf.DUMMYFUNCTION("""COMPUTED_VALUE"""),67.0)</f>
        <v>67</v>
      </c>
      <c r="B3" s="3">
        <f>IFERROR(__xludf.DUMMYFUNCTION("""COMPUTED_VALUE"""),20.0)</f>
        <v>20</v>
      </c>
      <c r="C3" s="3" t="str">
        <f>IFERROR(__xludf.DUMMYFUNCTION("""COMPUTED_VALUE"""),"Caramba")</f>
        <v>Caramba</v>
      </c>
      <c r="D3" s="3" t="str">
        <f>IFERROR(__xludf.DUMMYFUNCTION("""COMPUTED_VALUE"""),"Гришин Дмитрий Викторович")</f>
        <v>Гришин Дмитрий Викторович</v>
      </c>
      <c r="E3" s="3"/>
      <c r="F3" s="3"/>
      <c r="G3" s="3" t="str">
        <f>IFERROR(__xludf.DUMMYFUNCTION("""COMPUTED_VALUE"""),"подтверждена ")</f>
        <v>подтверждена </v>
      </c>
    </row>
    <row r="4">
      <c r="A4" s="3">
        <f>IFERROR(__xludf.DUMMYFUNCTION("""COMPUTED_VALUE"""),77.0)</f>
        <v>77</v>
      </c>
      <c r="B4" s="3">
        <f>IFERROR(__xludf.DUMMYFUNCTION("""COMPUTED_VALUE"""),20.0)</f>
        <v>20</v>
      </c>
      <c r="C4" s="3" t="str">
        <f>IFERROR(__xludf.DUMMYFUNCTION("""COMPUTED_VALUE"""),"Мы пытались!")</f>
        <v>Мы пытались!</v>
      </c>
      <c r="D4" s="3" t="str">
        <f>IFERROR(__xludf.DUMMYFUNCTION("""COMPUTED_VALUE"""),"Трохин Иван Евгеньевич")</f>
        <v>Трохин Иван Евгеньевич</v>
      </c>
      <c r="E4" s="3" t="str">
        <f>IFERROR(__xludf.DUMMYFUNCTION("""COMPUTED_VALUE"""),"Анастасия Карпова ")</f>
        <v>Анастасия Карпова </v>
      </c>
      <c r="F4" s="3" t="str">
        <f>IFERROR(__xludf.DUMMYFUNCTION("""COMPUTED_VALUE"""),"Илья (несоверш)")</f>
        <v>Илья (несоверш)</v>
      </c>
      <c r="G4" s="3" t="str">
        <f>IFERROR(__xludf.DUMMYFUNCTION("""COMPUTED_VALUE"""),"подтверждена ")</f>
        <v>подтверждена </v>
      </c>
    </row>
    <row r="5">
      <c r="A5" s="3">
        <f>IFERROR(__xludf.DUMMYFUNCTION("""COMPUTED_VALUE"""),38.0)</f>
        <v>38</v>
      </c>
      <c r="B5" s="3">
        <f>IFERROR(__xludf.DUMMYFUNCTION("""COMPUTED_VALUE"""),20.0)</f>
        <v>20</v>
      </c>
      <c r="C5" s="3" t="str">
        <f>IFERROR(__xludf.DUMMYFUNCTION("""COMPUTED_VALUE"""),"Веселые мячики")</f>
        <v>Веселые мячики</v>
      </c>
      <c r="D5" s="3" t="str">
        <f>IFERROR(__xludf.DUMMYFUNCTION("""COMPUTED_VALUE"""),"Смирнов Дмитрий Анатольевич")</f>
        <v>Смирнов Дмитрий Анатольевич</v>
      </c>
      <c r="E5" s="3" t="str">
        <f>IFERROR(__xludf.DUMMYFUNCTION("""COMPUTED_VALUE"""),"Семенова Юлия Юрьевна")</f>
        <v>Семенова Юлия Юрьевна</v>
      </c>
      <c r="F5" s="3"/>
      <c r="G5" s="3" t="str">
        <f>IFERROR(__xludf.DUMMYFUNCTION("""COMPUTED_VALUE"""),"подтверждена ")</f>
        <v>подтверждена </v>
      </c>
    </row>
    <row r="6">
      <c r="A6" s="3">
        <f>IFERROR(__xludf.DUMMYFUNCTION("""COMPUTED_VALUE"""),47.0)</f>
        <v>47</v>
      </c>
      <c r="B6" s="3">
        <f>IFERROR(__xludf.DUMMYFUNCTION("""COMPUTED_VALUE"""),20.0)</f>
        <v>20</v>
      </c>
      <c r="C6" s="3" t="str">
        <f>IFERROR(__xludf.DUMMYFUNCTION("""COMPUTED_VALUE"""),"Леший-Пеший")</f>
        <v>Леший-Пеший</v>
      </c>
      <c r="D6" s="3" t="str">
        <f>IFERROR(__xludf.DUMMYFUNCTION("""COMPUTED_VALUE"""),"Любин Виталий Яковлевич")</f>
        <v>Любин Виталий Яковлевич</v>
      </c>
      <c r="E6" s="3" t="str">
        <f>IFERROR(__xludf.DUMMYFUNCTION("""COMPUTED_VALUE"""),"Рыбак Михаил Михайлович")</f>
        <v>Рыбак Михаил Михайлович</v>
      </c>
      <c r="F6" s="3"/>
      <c r="G6" s="3" t="str">
        <f>IFERROR(__xludf.DUMMYFUNCTION("""COMPUTED_VALUE"""),"подтверждена ")</f>
        <v>подтверждена </v>
      </c>
    </row>
    <row r="7">
      <c r="A7" s="3">
        <f>IFERROR(__xludf.DUMMYFUNCTION("""COMPUTED_VALUE"""),21.0)</f>
        <v>21</v>
      </c>
      <c r="B7" s="3">
        <f>IFERROR(__xludf.DUMMYFUNCTION("""COMPUTED_VALUE"""),35.0)</f>
        <v>35</v>
      </c>
      <c r="C7" s="3" t="str">
        <f>IFERROR(__xludf.DUMMYFUNCTION("""COMPUTED_VALUE"""),"31-я весна")</f>
        <v>31-я весна</v>
      </c>
      <c r="D7" s="3" t="str">
        <f>IFERROR(__xludf.DUMMYFUNCTION("""COMPUTED_VALUE"""),"Кузьмичев Олег Дмитриевич")</f>
        <v>Кузьмичев Олег Дмитриевич</v>
      </c>
      <c r="E7" s="3"/>
      <c r="F7" s="3"/>
      <c r="G7" s="3" t="str">
        <f>IFERROR(__xludf.DUMMYFUNCTION("""COMPUTED_VALUE"""),"подтверждена ")</f>
        <v>подтверждена </v>
      </c>
    </row>
    <row r="8">
      <c r="A8" s="3">
        <f>IFERROR(__xludf.DUMMYFUNCTION("""COMPUTED_VALUE"""),40.0)</f>
        <v>40</v>
      </c>
      <c r="B8" s="3">
        <f>IFERROR(__xludf.DUMMYFUNCTION("""COMPUTED_VALUE"""),20.0)</f>
        <v>20</v>
      </c>
      <c r="C8" s="3" t="str">
        <f>IFERROR(__xludf.DUMMYFUNCTION("""COMPUTED_VALUE"""),"Хасько")</f>
        <v>Хасько</v>
      </c>
      <c r="D8" s="3" t="str">
        <f>IFERROR(__xludf.DUMMYFUNCTION("""COMPUTED_VALUE"""),"Золоторевская Александра Марковна ")</f>
        <v>Золоторевская Александра Марковна </v>
      </c>
      <c r="E8" s="3" t="str">
        <f>IFERROR(__xludf.DUMMYFUNCTION("""COMPUTED_VALUE"""),"Филатов Алексей")</f>
        <v>Филатов Алексей</v>
      </c>
      <c r="F8" s="3" t="str">
        <f>IFERROR(__xludf.DUMMYFUNCTION("""COMPUTED_VALUE"""),"Сперанская Дарья")</f>
        <v>Сперанская Дарья</v>
      </c>
      <c r="G8" s="3" t="str">
        <f>IFERROR(__xludf.DUMMYFUNCTION("""COMPUTED_VALUE"""),"подтверждена")</f>
        <v>подтверждена</v>
      </c>
    </row>
    <row r="9">
      <c r="A9" s="3">
        <f>IFERROR(__xludf.DUMMYFUNCTION("""COMPUTED_VALUE"""),49.0)</f>
        <v>49</v>
      </c>
      <c r="B9" s="3">
        <f>IFERROR(__xludf.DUMMYFUNCTION("""COMPUTED_VALUE"""),20.0)</f>
        <v>20</v>
      </c>
      <c r="C9" s="3"/>
      <c r="D9" s="3" t="str">
        <f>IFERROR(__xludf.DUMMYFUNCTION("""COMPUTED_VALUE"""),"Промыслова Надежда")</f>
        <v>Промыслова Надежда</v>
      </c>
      <c r="E9" s="3"/>
      <c r="F9" s="3"/>
      <c r="G9" s="3" t="str">
        <f>IFERROR(__xludf.DUMMYFUNCTION("""COMPUTED_VALUE"""),"подтверждена ")</f>
        <v>подтверждена </v>
      </c>
    </row>
    <row r="10">
      <c r="A10" s="3">
        <f>IFERROR(__xludf.DUMMYFUNCTION("""COMPUTED_VALUE"""),50.0)</f>
        <v>50</v>
      </c>
      <c r="B10" s="3">
        <f>IFERROR(__xludf.DUMMYFUNCTION("""COMPUTED_VALUE"""),20.0)</f>
        <v>20</v>
      </c>
      <c r="C10" s="3" t="str">
        <f>IFERROR(__xludf.DUMMYFUNCTION("""COMPUTED_VALUE"""),"На Вжухенвальден")</f>
        <v>На Вжухенвальден</v>
      </c>
      <c r="D10" s="3" t="str">
        <f>IFERROR(__xludf.DUMMYFUNCTION("""COMPUTED_VALUE"""),"Гончаров Максим")</f>
        <v>Гончаров Максим</v>
      </c>
      <c r="E10" s="3"/>
      <c r="F10" s="3"/>
      <c r="G10" s="3" t="str">
        <f>IFERROR(__xludf.DUMMYFUNCTION("""COMPUTED_VALUE"""),"подтверждена ")</f>
        <v>подтверждена </v>
      </c>
    </row>
    <row r="11">
      <c r="A11" s="3">
        <f>IFERROR(__xludf.DUMMYFUNCTION("""COMPUTED_VALUE"""),76.0)</f>
        <v>76</v>
      </c>
      <c r="B11" s="3">
        <f>IFERROR(__xludf.DUMMYFUNCTION("""COMPUTED_VALUE"""),20.0)</f>
        <v>20</v>
      </c>
      <c r="C11" s="3" t="str">
        <f>IFERROR(__xludf.DUMMYFUNCTION("""COMPUTED_VALUE"""),"Ѣ")</f>
        <v>Ѣ</v>
      </c>
      <c r="D11" s="3" t="str">
        <f>IFERROR(__xludf.DUMMYFUNCTION("""COMPUTED_VALUE"""),"Парамонов Александр")</f>
        <v>Парамонов Александр</v>
      </c>
      <c r="E11" s="3" t="str">
        <f>IFERROR(__xludf.DUMMYFUNCTION("""COMPUTED_VALUE"""),"Анна")</f>
        <v>Анна</v>
      </c>
      <c r="F11" s="3" t="str">
        <f>IFERROR(__xludf.DUMMYFUNCTION("""COMPUTED_VALUE"""),"Петр")</f>
        <v>Петр</v>
      </c>
      <c r="G11" s="3" t="str">
        <f>IFERROR(__xludf.DUMMYFUNCTION("""COMPUTED_VALUE"""),"подтверждена ")</f>
        <v>подтверждена </v>
      </c>
    </row>
    <row r="12">
      <c r="A12" s="3">
        <f>IFERROR(__xludf.DUMMYFUNCTION("""COMPUTED_VALUE"""),66.0)</f>
        <v>66</v>
      </c>
      <c r="B12" s="3">
        <f>IFERROR(__xludf.DUMMYFUNCTION("""COMPUTED_VALUE"""),35.0)</f>
        <v>35</v>
      </c>
      <c r="C12" s="3" t="str">
        <f>IFERROR(__xludf.DUMMYFUNCTION("""COMPUTED_VALUE"""),"Переходя на бег (изредка)")</f>
        <v>Переходя на бег (изредка)</v>
      </c>
      <c r="D12" s="3" t="str">
        <f>IFERROR(__xludf.DUMMYFUNCTION("""COMPUTED_VALUE"""),"Малахов Илья Валерьевич")</f>
        <v>Малахов Илья Валерьевич</v>
      </c>
      <c r="E12" s="3" t="str">
        <f>IFERROR(__xludf.DUMMYFUNCTION("""COMPUTED_VALUE"""),"Заиграев Сергей")</f>
        <v>Заиграев Сергей</v>
      </c>
      <c r="F12" s="3"/>
      <c r="G12" s="3" t="str">
        <f>IFERROR(__xludf.DUMMYFUNCTION("""COMPUTED_VALUE"""),"подтверждена ")</f>
        <v>подтверждена </v>
      </c>
    </row>
    <row r="13">
      <c r="A13" s="3">
        <f>IFERROR(__xludf.DUMMYFUNCTION("""COMPUTED_VALUE"""),45.0)</f>
        <v>45</v>
      </c>
      <c r="B13" s="3">
        <f>IFERROR(__xludf.DUMMYFUNCTION("""COMPUTED_VALUE"""),35.0)</f>
        <v>35</v>
      </c>
      <c r="C13" s="3" t="str">
        <f>IFERROR(__xludf.DUMMYFUNCTION("""COMPUTED_VALUE"""),"Борода")</f>
        <v>Борода</v>
      </c>
      <c r="D13" s="3" t="str">
        <f>IFERROR(__xludf.DUMMYFUNCTION("""COMPUTED_VALUE"""),"Муравенков Денис Александрович")</f>
        <v>Муравенков Денис Александрович</v>
      </c>
      <c r="E13" s="3"/>
      <c r="F13" s="3"/>
      <c r="G13" s="3" t="str">
        <f>IFERROR(__xludf.DUMMYFUNCTION("""COMPUTED_VALUE"""),"подтверждена ")</f>
        <v>подтверждена </v>
      </c>
    </row>
    <row r="14">
      <c r="A14" s="3">
        <f>IFERROR(__xludf.DUMMYFUNCTION("""COMPUTED_VALUE"""),27.0)</f>
        <v>27</v>
      </c>
      <c r="B14" s="3">
        <f>IFERROR(__xludf.DUMMYFUNCTION("""COMPUTED_VALUE"""),20.0)</f>
        <v>20</v>
      </c>
      <c r="C14" s="3" t="str">
        <f>IFERROR(__xludf.DUMMYFUNCTION("""COMPUTED_VALUE"""),"Белка с Огурцами")</f>
        <v>Белка с Огурцами</v>
      </c>
      <c r="D14" s="3" t="str">
        <f>IFERROR(__xludf.DUMMYFUNCTION("""COMPUTED_VALUE"""),"Рыбаков Георгий Валерьевич")</f>
        <v>Рыбаков Георгий Валерьевич</v>
      </c>
      <c r="E14" s="3" t="str">
        <f>IFERROR(__xludf.DUMMYFUNCTION("""COMPUTED_VALUE"""),"Кирюшина Татьяна")</f>
        <v>Кирюшина Татьяна</v>
      </c>
      <c r="F14" s="3" t="str">
        <f>IFERROR(__xludf.DUMMYFUNCTION("""COMPUTED_VALUE"""),"Алёна Семанина")</f>
        <v>Алёна Семанина</v>
      </c>
      <c r="G14" s="3"/>
    </row>
    <row r="15">
      <c r="A15" s="3">
        <f>IFERROR(__xludf.DUMMYFUNCTION("""COMPUTED_VALUE"""),61.0)</f>
        <v>61</v>
      </c>
      <c r="B15" s="3">
        <f>IFERROR(__xludf.DUMMYFUNCTION("""COMPUTED_VALUE"""),20.0)</f>
        <v>20</v>
      </c>
      <c r="C15" s="3" t="str">
        <f>IFERROR(__xludf.DUMMYFUNCTION("""COMPUTED_VALUE"""),"Огурцы!")</f>
        <v>Огурцы!</v>
      </c>
      <c r="D15" s="3" t="str">
        <f>IFERROR(__xludf.DUMMYFUNCTION("""COMPUTED_VALUE"""),"Ситников Ян Михайлович")</f>
        <v>Ситников Ян Михайлович</v>
      </c>
      <c r="E15" s="3" t="str">
        <f>IFERROR(__xludf.DUMMYFUNCTION("""COMPUTED_VALUE"""),"Ситников Миша")</f>
        <v>Ситников Миша</v>
      </c>
      <c r="F15" s="3" t="str">
        <f>IFERROR(__xludf.DUMMYFUNCTION("""COMPUTED_VALUE"""),"Ситникова Оля")</f>
        <v>Ситникова Оля</v>
      </c>
      <c r="G15" s="3" t="str">
        <f>IFERROR(__xludf.DUMMYFUNCTION("""COMPUTED_VALUE"""),"подтверждена ")</f>
        <v>подтверждена </v>
      </c>
    </row>
    <row r="16">
      <c r="A16" s="3">
        <f>IFERROR(__xludf.DUMMYFUNCTION("""COMPUTED_VALUE"""),25.0)</f>
        <v>25</v>
      </c>
      <c r="B16" s="3">
        <f>IFERROR(__xludf.DUMMYFUNCTION("""COMPUTED_VALUE"""),20.0)</f>
        <v>20</v>
      </c>
      <c r="C16" s="3" t="str">
        <f>IFERROR(__xludf.DUMMYFUNCTION("""COMPUTED_VALUE"""),"СемьМы")</f>
        <v>СемьМы</v>
      </c>
      <c r="D16" s="3" t="str">
        <f>IFERROR(__xludf.DUMMYFUNCTION("""COMPUTED_VALUE"""),"Тамбовцев Алексей Сергеевич")</f>
        <v>Тамбовцев Алексей Сергеевич</v>
      </c>
      <c r="E16" s="3" t="str">
        <f>IFERROR(__xludf.DUMMYFUNCTION("""COMPUTED_VALUE"""),"Тамбовцева Анна Алексеевна")</f>
        <v>Тамбовцева Анна Алексеевна</v>
      </c>
      <c r="F16" s="3"/>
      <c r="G16" s="3" t="str">
        <f>IFERROR(__xludf.DUMMYFUNCTION("""COMPUTED_VALUE"""),"подтверждена ")</f>
        <v>подтверждена </v>
      </c>
    </row>
    <row r="17">
      <c r="A17" s="3">
        <f>IFERROR(__xludf.DUMMYFUNCTION("""COMPUTED_VALUE"""),71.0)</f>
        <v>71</v>
      </c>
      <c r="B17" s="3">
        <f>IFERROR(__xludf.DUMMYFUNCTION("""COMPUTED_VALUE"""),20.0)</f>
        <v>20</v>
      </c>
      <c r="C17" s="3" t="str">
        <f>IFERROR(__xludf.DUMMYFUNCTION("""COMPUTED_VALUE"""),"Привала.net")</f>
        <v>Привала.net</v>
      </c>
      <c r="D17" s="3" t="str">
        <f>IFERROR(__xludf.DUMMYFUNCTION("""COMPUTED_VALUE"""),"Алексей Кирпиченко")</f>
        <v>Алексей Кирпиченко</v>
      </c>
      <c r="E17" s="3" t="str">
        <f>IFERROR(__xludf.DUMMYFUNCTION("""COMPUTED_VALUE"""),"турклуб")</f>
        <v>турклуб</v>
      </c>
      <c r="F17" s="3"/>
      <c r="G17" s="3" t="str">
        <f>IFERROR(__xludf.DUMMYFUNCTION("""COMPUTED_VALUE"""),"подтверждена ")</f>
        <v>подтверждена </v>
      </c>
    </row>
    <row r="18">
      <c r="A18" s="3">
        <f>IFERROR(__xludf.DUMMYFUNCTION("""COMPUTED_VALUE"""),95.0)</f>
        <v>95</v>
      </c>
      <c r="B18" s="3">
        <f>IFERROR(__xludf.DUMMYFUNCTION("""COMPUTED_VALUE"""),20.0)</f>
        <v>20</v>
      </c>
      <c r="C18" s="3"/>
      <c r="D18" s="3" t="str">
        <f>IFERROR(__xludf.DUMMYFUNCTION("""COMPUTED_VALUE"""),"Наталья Головкина")</f>
        <v>Наталья Головкина</v>
      </c>
      <c r="E18" s="3" t="str">
        <f>IFERROR(__xludf.DUMMYFUNCTION("""COMPUTED_VALUE"""),"Денис Воров")</f>
        <v>Денис Воров</v>
      </c>
      <c r="F18" s="3"/>
      <c r="G18" s="3"/>
    </row>
    <row r="19">
      <c r="A19" s="3">
        <f>IFERROR(__xludf.DUMMYFUNCTION("""COMPUTED_VALUE"""),82.0)</f>
        <v>82</v>
      </c>
      <c r="B19" s="3">
        <f>IFERROR(__xludf.DUMMYFUNCTION("""COMPUTED_VALUE"""),20.0)</f>
        <v>20</v>
      </c>
      <c r="C19" s="3" t="str">
        <f>IFERROR(__xludf.DUMMYFUNCTION("""COMPUTED_VALUE"""),"Гравицап")</f>
        <v>Гравицап</v>
      </c>
      <c r="D19" s="3" t="str">
        <f>IFERROR(__xludf.DUMMYFUNCTION("""COMPUTED_VALUE"""),"Караев Михаил Шахинович")</f>
        <v>Караев Михаил Шахинович</v>
      </c>
      <c r="E19" s="3" t="str">
        <f>IFERROR(__xludf.DUMMYFUNCTION("""COMPUTED_VALUE"""),"Караева Ольга")</f>
        <v>Караева Ольга</v>
      </c>
      <c r="F19" s="3" t="str">
        <f>IFERROR(__xludf.DUMMYFUNCTION("""COMPUTED_VALUE"""),"Караев Макар")</f>
        <v>Караев Макар</v>
      </c>
      <c r="G19" s="3"/>
    </row>
    <row r="20">
      <c r="A20" s="3">
        <f>IFERROR(__xludf.DUMMYFUNCTION("""COMPUTED_VALUE"""),24.0)</f>
        <v>24</v>
      </c>
      <c r="B20" s="3">
        <f>IFERROR(__xludf.DUMMYFUNCTION("""COMPUTED_VALUE"""),35.0)</f>
        <v>35</v>
      </c>
      <c r="C20" s="3" t="str">
        <f>IFERROR(__xludf.DUMMYFUNCTION("""COMPUTED_VALUE"""),"ХодЛосем")</f>
        <v>ХодЛосем</v>
      </c>
      <c r="D20" s="3" t="str">
        <f>IFERROR(__xludf.DUMMYFUNCTION("""COMPUTED_VALUE"""),"Салов Евгений Евгеньевич")</f>
        <v>Салов Евгений Евгеньевич</v>
      </c>
      <c r="E20" s="3" t="str">
        <f>IFERROR(__xludf.DUMMYFUNCTION("""COMPUTED_VALUE"""),"Салов Александр")</f>
        <v>Салов Александр</v>
      </c>
      <c r="F20" s="3"/>
      <c r="G20" s="3" t="str">
        <f>IFERROR(__xludf.DUMMYFUNCTION("""COMPUTED_VALUE"""),"подтверждена ")</f>
        <v>подтверждена </v>
      </c>
    </row>
    <row r="21">
      <c r="A21" s="3">
        <f>IFERROR(__xludf.DUMMYFUNCTION("""COMPUTED_VALUE"""),34.0)</f>
        <v>34</v>
      </c>
      <c r="B21" s="3">
        <f>IFERROR(__xludf.DUMMYFUNCTION("""COMPUTED_VALUE"""),20.0)</f>
        <v>20</v>
      </c>
      <c r="C21" s="3" t="str">
        <f>IFERROR(__xludf.DUMMYFUNCTION("""COMPUTED_VALUE"""),"Пешком")</f>
        <v>Пешком</v>
      </c>
      <c r="D21" s="3" t="str">
        <f>IFERROR(__xludf.DUMMYFUNCTION("""COMPUTED_VALUE"""),"Миронович Дмитрий")</f>
        <v>Миронович Дмитрий</v>
      </c>
      <c r="E21" s="3" t="str">
        <f>IFERROR(__xludf.DUMMYFUNCTION("""COMPUTED_VALUE"""),"Миронович Елена")</f>
        <v>Миронович Елена</v>
      </c>
      <c r="F21" s="3"/>
      <c r="G21" s="3" t="str">
        <f>IFERROR(__xludf.DUMMYFUNCTION("""COMPUTED_VALUE"""),"подтверждена")</f>
        <v>подтверждена</v>
      </c>
    </row>
    <row r="22">
      <c r="A22" s="3">
        <f>IFERROR(__xludf.DUMMYFUNCTION("""COMPUTED_VALUE"""),64.0)</f>
        <v>64</v>
      </c>
      <c r="B22" s="3">
        <f>IFERROR(__xludf.DUMMYFUNCTION("""COMPUTED_VALUE"""),20.0)</f>
        <v>20</v>
      </c>
      <c r="C22" s="3" t="str">
        <f>IFERROR(__xludf.DUMMYFUNCTION("""COMPUTED_VALUE"""),"ЯК2")</f>
        <v>ЯК2</v>
      </c>
      <c r="D22" s="3" t="str">
        <f>IFERROR(__xludf.DUMMYFUNCTION("""COMPUTED_VALUE"""),"Лукьянцев Дмитрий Анатольевич")</f>
        <v>Лукьянцев Дмитрий Анатольевич</v>
      </c>
      <c r="E22" s="3"/>
      <c r="F22" s="3"/>
      <c r="G22" s="3" t="str">
        <f>IFERROR(__xludf.DUMMYFUNCTION("""COMPUTED_VALUE"""),"подтверждена ")</f>
        <v>подтверждена </v>
      </c>
    </row>
    <row r="23">
      <c r="A23" s="3">
        <f>IFERROR(__xludf.DUMMYFUNCTION("""COMPUTED_VALUE"""),43.0)</f>
        <v>43</v>
      </c>
      <c r="B23" s="3">
        <f>IFERROR(__xludf.DUMMYFUNCTION("""COMPUTED_VALUE"""),45.0)</f>
        <v>45</v>
      </c>
      <c r="C23" s="3" t="str">
        <f>IFERROR(__xludf.DUMMYFUNCTION("""COMPUTED_VALUE"""),"Тюлень Ириша")</f>
        <v>Тюлень Ириша</v>
      </c>
      <c r="D23" s="3" t="str">
        <f>IFERROR(__xludf.DUMMYFUNCTION("""COMPUTED_VALUE"""),"Хусаинова Ирина Исмагильяновна")</f>
        <v>Хусаинова Ирина Исмагильяновна</v>
      </c>
      <c r="E23" s="3"/>
      <c r="F23" s="3"/>
      <c r="G23" s="3" t="str">
        <f>IFERROR(__xludf.DUMMYFUNCTION("""COMPUTED_VALUE"""),"подтверждена ")</f>
        <v>подтверждена </v>
      </c>
    </row>
    <row r="24">
      <c r="A24" s="3">
        <f>IFERROR(__xludf.DUMMYFUNCTION("""COMPUTED_VALUE"""),97.0)</f>
        <v>97</v>
      </c>
      <c r="B24" s="3">
        <f>IFERROR(__xludf.DUMMYFUNCTION("""COMPUTED_VALUE"""),35.0)</f>
        <v>35</v>
      </c>
      <c r="C24" s="3"/>
      <c r="D24" s="3" t="str">
        <f>IFERROR(__xludf.DUMMYFUNCTION("""COMPUTED_VALUE"""),"Екатерина Бэкер")</f>
        <v>Екатерина Бэкер</v>
      </c>
      <c r="E24" s="3"/>
      <c r="F24" s="3"/>
      <c r="G24" s="3"/>
    </row>
    <row r="25">
      <c r="A25" s="3">
        <f>IFERROR(__xludf.DUMMYFUNCTION("""COMPUTED_VALUE"""),98.0)</f>
        <v>98</v>
      </c>
      <c r="B25" s="3">
        <f>IFERROR(__xludf.DUMMYFUNCTION("""COMPUTED_VALUE"""),35.0)</f>
        <v>35</v>
      </c>
      <c r="C25" s="3" t="str">
        <f>IFERROR(__xludf.DUMMYFUNCTION("""COMPUTED_VALUE"""),"Артем")</f>
        <v>Артем</v>
      </c>
      <c r="D25" s="3" t="str">
        <f>IFERROR(__xludf.DUMMYFUNCTION("""COMPUTED_VALUE"""),"Борзилов Артем Ильич")</f>
        <v>Борзилов Артем Ильич</v>
      </c>
      <c r="E25" s="3"/>
      <c r="F25" s="3"/>
      <c r="G25" s="3" t="str">
        <f>IFERROR(__xludf.DUMMYFUNCTION("""COMPUTED_VALUE"""),"подтверждена ")</f>
        <v>подтверждена </v>
      </c>
    </row>
    <row r="26">
      <c r="A26" s="3">
        <f>IFERROR(__xludf.DUMMYFUNCTION("""COMPUTED_VALUE"""),48.0)</f>
        <v>48</v>
      </c>
      <c r="B26" s="3">
        <f>IFERROR(__xludf.DUMMYFUNCTION("""COMPUTED_VALUE"""),45.0)</f>
        <v>45</v>
      </c>
      <c r="C26" s="3" t="str">
        <f>IFERROR(__xludf.DUMMYFUNCTION("""COMPUTED_VALUE"""),"RM-1902")</f>
        <v>RM-1902</v>
      </c>
      <c r="D26" s="3" t="str">
        <f>IFERROR(__xludf.DUMMYFUNCTION("""COMPUTED_VALUE"""),"Борис Димитров")</f>
        <v>Борис Димитров</v>
      </c>
      <c r="E26" s="3"/>
      <c r="F26" s="3"/>
      <c r="G26" s="3" t="str">
        <f>IFERROR(__xludf.DUMMYFUNCTION("""COMPUTED_VALUE"""),"подтверждена ")</f>
        <v>подтверждена </v>
      </c>
    </row>
    <row r="27">
      <c r="A27" s="3">
        <f>IFERROR(__xludf.DUMMYFUNCTION("""COMPUTED_VALUE"""),78.0)</f>
        <v>78</v>
      </c>
      <c r="B27" s="3">
        <f>IFERROR(__xludf.DUMMYFUNCTION("""COMPUTED_VALUE"""),20.0)</f>
        <v>20</v>
      </c>
      <c r="C27" s="3" t="str">
        <f>IFERROR(__xludf.DUMMYFUNCTION("""COMPUTED_VALUE"""),"День Сурка")</f>
        <v>День Сурка</v>
      </c>
      <c r="D27" s="3" t="str">
        <f>IFERROR(__xludf.DUMMYFUNCTION("""COMPUTED_VALUE"""),"Деловая Софья ")</f>
        <v>Деловая Софья </v>
      </c>
      <c r="E27" s="3" t="str">
        <f>IFERROR(__xludf.DUMMYFUNCTION("""COMPUTED_VALUE"""),"Иван")</f>
        <v>Иван</v>
      </c>
      <c r="F27" s="3" t="str">
        <f>IFERROR(__xludf.DUMMYFUNCTION("""COMPUTED_VALUE"""),"Таисия Новикова (несоверш)")</f>
        <v>Таисия Новикова (несоверш)</v>
      </c>
      <c r="G27" s="3" t="str">
        <f>IFERROR(__xludf.DUMMYFUNCTION("""COMPUTED_VALUE"""),"подтверждена ")</f>
        <v>подтверждена </v>
      </c>
    </row>
    <row r="28">
      <c r="A28" s="3">
        <f>IFERROR(__xludf.DUMMYFUNCTION("""COMPUTED_VALUE"""),22.0)</f>
        <v>22</v>
      </c>
      <c r="B28" s="3">
        <f>IFERROR(__xludf.DUMMYFUNCTION("""COMPUTED_VALUE"""),20.0)</f>
        <v>20</v>
      </c>
      <c r="C28" s="3" t="str">
        <f>IFERROR(__xludf.DUMMYFUNCTION("""COMPUTED_VALUE"""),"Бабай-Шагай")</f>
        <v>Бабай-Шагай</v>
      </c>
      <c r="D28" s="3" t="str">
        <f>IFERROR(__xludf.DUMMYFUNCTION("""COMPUTED_VALUE"""),"Кузьмичев Дмитрий Олегович")</f>
        <v>Кузьмичев Дмитрий Олегович</v>
      </c>
      <c r="E28" s="3" t="str">
        <f>IFERROR(__xludf.DUMMYFUNCTION("""COMPUTED_VALUE"""),"Кузьмичева Анна Владимировна")</f>
        <v>Кузьмичева Анна Владимировна</v>
      </c>
      <c r="F28" s="3"/>
      <c r="G28" s="3" t="str">
        <f>IFERROR(__xludf.DUMMYFUNCTION("""COMPUTED_VALUE"""),"подтверждена ")</f>
        <v>подтверждена </v>
      </c>
    </row>
    <row r="29">
      <c r="A29" s="3">
        <f>IFERROR(__xludf.DUMMYFUNCTION("""COMPUTED_VALUE"""),10.0)</f>
        <v>10</v>
      </c>
      <c r="B29" s="3">
        <f>IFERROR(__xludf.DUMMYFUNCTION("""COMPUTED_VALUE"""),45.0)</f>
        <v>45</v>
      </c>
      <c r="C29" s="3" t="str">
        <f>IFERROR(__xludf.DUMMYFUNCTION("""COMPUTED_VALUE"""),"Безуминка")</f>
        <v>Безуминка</v>
      </c>
      <c r="D29" s="3" t="str">
        <f>IFERROR(__xludf.DUMMYFUNCTION("""COMPUTED_VALUE"""),"Зверев Сергей")</f>
        <v>Зверев Сергей</v>
      </c>
      <c r="E29" s="3" t="str">
        <f>IFERROR(__xludf.DUMMYFUNCTION("""COMPUTED_VALUE"""),"Бурчак Алена")</f>
        <v>Бурчак Алена</v>
      </c>
      <c r="F29" s="3"/>
      <c r="G29" s="3"/>
    </row>
    <row r="30">
      <c r="A30" s="3">
        <f>IFERROR(__xludf.DUMMYFUNCTION("""COMPUTED_VALUE"""),90.0)</f>
        <v>90</v>
      </c>
      <c r="B30" s="3">
        <f>IFERROR(__xludf.DUMMYFUNCTION("""COMPUTED_VALUE"""),45.0)</f>
        <v>45</v>
      </c>
      <c r="C30" s="3"/>
      <c r="D30" s="3" t="str">
        <f>IFERROR(__xludf.DUMMYFUNCTION("""COMPUTED_VALUE"""),"Бобкова Екатерина")</f>
        <v>Бобкова Екатерина</v>
      </c>
      <c r="E30" s="3"/>
      <c r="F30" s="3"/>
      <c r="G30" s="3" t="str">
        <f>IFERROR(__xludf.DUMMYFUNCTION("""COMPUTED_VALUE"""),"подтверждена ")</f>
        <v>подтверждена </v>
      </c>
    </row>
    <row r="31">
      <c r="A31" s="3">
        <f>IFERROR(__xludf.DUMMYFUNCTION("""COMPUTED_VALUE"""),23.0)</f>
        <v>23</v>
      </c>
      <c r="B31" s="3">
        <f>IFERROR(__xludf.DUMMYFUNCTION("""COMPUTED_VALUE"""),35.0)</f>
        <v>35</v>
      </c>
      <c r="C31" s="3" t="str">
        <f>IFERROR(__xludf.DUMMYFUNCTION("""COMPUTED_VALUE"""),"Гражданская оборона")</f>
        <v>Гражданская оборона</v>
      </c>
      <c r="D31" s="3" t="str">
        <f>IFERROR(__xludf.DUMMYFUNCTION("""COMPUTED_VALUE"""),"Корешков Александр Михайлович")</f>
        <v>Корешков Александр Михайлович</v>
      </c>
      <c r="E31" s="3" t="str">
        <f>IFERROR(__xludf.DUMMYFUNCTION("""COMPUTED_VALUE"""),"Афонченко Евгений")</f>
        <v>Афонченко Евгений</v>
      </c>
      <c r="F31" s="3" t="str">
        <f>IFERROR(__xludf.DUMMYFUNCTION("""COMPUTED_VALUE"""),"Сакулина Екатерина")</f>
        <v>Сакулина Екатерина</v>
      </c>
      <c r="G31" s="3" t="str">
        <f>IFERROR(__xludf.DUMMYFUNCTION("""COMPUTED_VALUE"""),"подтверждена ")</f>
        <v>подтверждена </v>
      </c>
    </row>
    <row r="32">
      <c r="A32" s="3">
        <f>IFERROR(__xludf.DUMMYFUNCTION("""COMPUTED_VALUE"""),52.0)</f>
        <v>52</v>
      </c>
      <c r="B32" s="3">
        <f>IFERROR(__xludf.DUMMYFUNCTION("""COMPUTED_VALUE"""),35.0)</f>
        <v>35</v>
      </c>
      <c r="C32" s="3" t="str">
        <f>IFERROR(__xludf.DUMMYFUNCTION("""COMPUTED_VALUE"""),"[oH] Grey")</f>
        <v>[oH] Grey</v>
      </c>
      <c r="D32" s="3" t="str">
        <f>IFERROR(__xludf.DUMMYFUNCTION("""COMPUTED_VALUE"""),"Дьяконов Михаил")</f>
        <v>Дьяконов Михаил</v>
      </c>
      <c r="E32" s="3"/>
      <c r="F32" s="3"/>
      <c r="G32" s="3" t="str">
        <f>IFERROR(__xludf.DUMMYFUNCTION("""COMPUTED_VALUE"""),"подтверждена ")</f>
        <v>подтверждена </v>
      </c>
    </row>
    <row r="33">
      <c r="A33" s="3">
        <f>IFERROR(__xludf.DUMMYFUNCTION("""COMPUTED_VALUE"""),96.0)</f>
        <v>96</v>
      </c>
      <c r="B33" s="3">
        <f>IFERROR(__xludf.DUMMYFUNCTION("""COMPUTED_VALUE"""),45.0)</f>
        <v>45</v>
      </c>
      <c r="C33" s="3"/>
      <c r="D33" s="3" t="str">
        <f>IFERROR(__xludf.DUMMYFUNCTION("""COMPUTED_VALUE"""),"Егор Задеба")</f>
        <v>Егор Задеба</v>
      </c>
      <c r="E33" s="3"/>
      <c r="F33" s="3"/>
      <c r="G33" s="3"/>
    </row>
    <row r="34">
      <c r="A34" s="3">
        <f>IFERROR(__xludf.DUMMYFUNCTION("""COMPUTED_VALUE"""),14.0)</f>
        <v>14</v>
      </c>
      <c r="B34" s="3">
        <f>IFERROR(__xludf.DUMMYFUNCTION("""COMPUTED_VALUE"""),45.0)</f>
        <v>45</v>
      </c>
      <c r="C34" s="3" t="str">
        <f>IFERROR(__xludf.DUMMYFUNCTION("""COMPUTED_VALUE"""),"""Ос""")</f>
        <v>"Ос"</v>
      </c>
      <c r="D34" s="3" t="str">
        <f>IFERROR(__xludf.DUMMYFUNCTION("""COMPUTED_VALUE"""),"Жученко Дмитрий Игоревич")</f>
        <v>Жученко Дмитрий Игоревич</v>
      </c>
      <c r="E34" s="3" t="str">
        <f>IFERROR(__xludf.DUMMYFUNCTION("""COMPUTED_VALUE"""),"Трифонов Илья Олегович")</f>
        <v>Трифонов Илья Олегович</v>
      </c>
      <c r="F34" s="3"/>
      <c r="G34" s="3" t="str">
        <f>IFERROR(__xludf.DUMMYFUNCTION("""COMPUTED_VALUE"""),"подтверждена ")</f>
        <v>подтверждена </v>
      </c>
    </row>
    <row r="35">
      <c r="A35" s="3">
        <f>IFERROR(__xludf.DUMMYFUNCTION("""COMPUTED_VALUE"""),33.0)</f>
        <v>33</v>
      </c>
      <c r="B35" s="3">
        <f>IFERROR(__xludf.DUMMYFUNCTION("""COMPUTED_VALUE"""),45.0)</f>
        <v>45</v>
      </c>
      <c r="C35" s="3" t="str">
        <f>IFERROR(__xludf.DUMMYFUNCTION("""COMPUTED_VALUE"""),"Диванные лоси")</f>
        <v>Диванные лоси</v>
      </c>
      <c r="D35" s="3" t="str">
        <f>IFERROR(__xludf.DUMMYFUNCTION("""COMPUTED_VALUE"""),"Серговский Иван Александрович")</f>
        <v>Серговский Иван Александрович</v>
      </c>
      <c r="E35" s="3"/>
      <c r="F35" s="3"/>
      <c r="G35" s="3" t="str">
        <f>IFERROR(__xludf.DUMMYFUNCTION("""COMPUTED_VALUE"""),"подтверждена ")</f>
        <v>подтверждена </v>
      </c>
    </row>
    <row r="36">
      <c r="A36" s="3">
        <f>IFERROR(__xludf.DUMMYFUNCTION("""COMPUTED_VALUE"""),89.0)</f>
        <v>89</v>
      </c>
      <c r="B36" s="3">
        <f>IFERROR(__xludf.DUMMYFUNCTION("""COMPUTED_VALUE"""),45.0)</f>
        <v>45</v>
      </c>
      <c r="C36" s="3"/>
      <c r="D36" s="3" t="str">
        <f>IFERROR(__xludf.DUMMYFUNCTION("""COMPUTED_VALUE"""),"Федор Козлов")</f>
        <v>Федор Козлов</v>
      </c>
      <c r="E36" s="3"/>
      <c r="F36" s="3"/>
      <c r="G36" s="3"/>
    </row>
    <row r="37">
      <c r="A37" s="3">
        <f>IFERROR(__xludf.DUMMYFUNCTION("""COMPUTED_VALUE"""),37.0)</f>
        <v>37</v>
      </c>
      <c r="B37" s="3">
        <f>IFERROR(__xludf.DUMMYFUNCTION("""COMPUTED_VALUE"""),20.0)</f>
        <v>20</v>
      </c>
      <c r="C37" s="3" t="str">
        <f>IFERROR(__xludf.DUMMYFUNCTION("""COMPUTED_VALUE"""),"Кивики")</f>
        <v>Кивики</v>
      </c>
      <c r="D37" s="3" t="str">
        <f>IFERROR(__xludf.DUMMYFUNCTION("""COMPUTED_VALUE"""),"Титова-Стетюкевич Юлия Александровна")</f>
        <v>Титова-Стетюкевич Юлия Александровна</v>
      </c>
      <c r="E37" s="3"/>
      <c r="F37" s="3"/>
      <c r="G37" s="3"/>
    </row>
    <row r="38">
      <c r="A38" s="3">
        <f>IFERROR(__xludf.DUMMYFUNCTION("""COMPUTED_VALUE"""),68.0)</f>
        <v>68</v>
      </c>
      <c r="B38" s="3">
        <f>IFERROR(__xludf.DUMMYFUNCTION("""COMPUTED_VALUE"""),35.0)</f>
        <v>35</v>
      </c>
      <c r="C38" s="3" t="str">
        <f>IFERROR(__xludf.DUMMYFUNCTION("""COMPUTED_VALUE"""),"Неспешно")</f>
        <v>Неспешно</v>
      </c>
      <c r="D38" s="3" t="str">
        <f>IFERROR(__xludf.DUMMYFUNCTION("""COMPUTED_VALUE"""),"Пищаев Дмитрий Владимирович")</f>
        <v>Пищаев Дмитрий Владимирович</v>
      </c>
      <c r="E38" s="3" t="str">
        <f>IFERROR(__xludf.DUMMYFUNCTION("""COMPUTED_VALUE"""),"Кресик Андрей")</f>
        <v>Кресик Андрей</v>
      </c>
      <c r="F38" s="3"/>
      <c r="G38" s="3" t="str">
        <f>IFERROR(__xludf.DUMMYFUNCTION("""COMPUTED_VALUE"""),"подтверждена ")</f>
        <v>подтверждена </v>
      </c>
    </row>
    <row r="39">
      <c r="A39" s="3">
        <f>IFERROR(__xludf.DUMMYFUNCTION("""COMPUTED_VALUE"""),81.0)</f>
        <v>81</v>
      </c>
      <c r="B39" s="3">
        <f>IFERROR(__xludf.DUMMYFUNCTION("""COMPUTED_VALUE"""),35.0)</f>
        <v>35</v>
      </c>
      <c r="C39" s="3" t="str">
        <f>IFERROR(__xludf.DUMMYFUNCTION("""COMPUTED_VALUE"""),"Сильные духом")</f>
        <v>Сильные духом</v>
      </c>
      <c r="D39" s="3" t="str">
        <f>IFERROR(__xludf.DUMMYFUNCTION("""COMPUTED_VALUE"""),"Попова Екатерина Сергеевна")</f>
        <v>Попова Екатерина Сергеевна</v>
      </c>
      <c r="E39" s="3" t="str">
        <f>IFERROR(__xludf.DUMMYFUNCTION("""COMPUTED_VALUE"""),"Бикмухаметов Альберт Хасанович")</f>
        <v>Бикмухаметов Альберт Хасанович</v>
      </c>
      <c r="F39" s="3"/>
      <c r="G39" s="3"/>
    </row>
    <row r="40">
      <c r="A40" s="3">
        <f>IFERROR(__xludf.DUMMYFUNCTION("""COMPUTED_VALUE"""),51.0)</f>
        <v>51</v>
      </c>
      <c r="B40" s="3">
        <f>IFERROR(__xludf.DUMMYFUNCTION("""COMPUTED_VALUE"""),20.0)</f>
        <v>20</v>
      </c>
      <c r="C40" s="3" t="str">
        <f>IFERROR(__xludf.DUMMYFUNCTION("""COMPUTED_VALUE"""),"Сыроноги")</f>
        <v>Сыроноги</v>
      </c>
      <c r="D40" s="3" t="str">
        <f>IFERROR(__xludf.DUMMYFUNCTION("""COMPUTED_VALUE"""),"Марданов Георгий")</f>
        <v>Марданов Георгий</v>
      </c>
      <c r="E40" s="3" t="str">
        <f>IFERROR(__xludf.DUMMYFUNCTION("""COMPUTED_VALUE"""),"Марданов Тимофей")</f>
        <v>Марданов Тимофей</v>
      </c>
      <c r="F40" s="3" t="str">
        <f>IFERROR(__xludf.DUMMYFUNCTION("""COMPUTED_VALUE"""),"Марданов Василий")</f>
        <v>Марданов Василий</v>
      </c>
      <c r="G40" s="3"/>
    </row>
    <row r="41">
      <c r="A41" s="3">
        <f>IFERROR(__xludf.DUMMYFUNCTION("""COMPUTED_VALUE"""),70.0)</f>
        <v>70</v>
      </c>
      <c r="B41" s="3">
        <f>IFERROR(__xludf.DUMMYFUNCTION("""COMPUTED_VALUE"""),20.0)</f>
        <v>20</v>
      </c>
      <c r="C41" s="3" t="str">
        <f>IFERROR(__xludf.DUMMYFUNCTION("""COMPUTED_VALUE"""),"Ватуты")</f>
        <v>Ватуты</v>
      </c>
      <c r="D41" s="3" t="str">
        <f>IFERROR(__xludf.DUMMYFUNCTION("""COMPUTED_VALUE"""),"Саяпин Павел Викторович")</f>
        <v>Саяпин Павел Викторович</v>
      </c>
      <c r="E41" s="3" t="str">
        <f>IFERROR(__xludf.DUMMYFUNCTION("""COMPUTED_VALUE"""),"Саяпина Александра Павловна")</f>
        <v>Саяпина Александра Павловна</v>
      </c>
      <c r="F41" s="3" t="str">
        <f>IFERROR(__xludf.DUMMYFUNCTION("""COMPUTED_VALUE"""),"Масленников Артём Романович")</f>
        <v>Масленников Артём Романович</v>
      </c>
      <c r="G41" s="3"/>
    </row>
    <row r="42">
      <c r="A42" s="3">
        <f>IFERROR(__xludf.DUMMYFUNCTION("""COMPUTED_VALUE"""),93.0)</f>
        <v>93</v>
      </c>
      <c r="B42" s="3">
        <f>IFERROR(__xludf.DUMMYFUNCTION("""COMPUTED_VALUE"""),45.0)</f>
        <v>45</v>
      </c>
      <c r="C42" s="3"/>
      <c r="D42" s="3" t="str">
        <f>IFERROR(__xludf.DUMMYFUNCTION("""COMPUTED_VALUE"""),"Минчаков Роман")</f>
        <v>Минчаков Роман</v>
      </c>
      <c r="E42" s="3" t="str">
        <f>IFERROR(__xludf.DUMMYFUNCTION("""COMPUTED_VALUE"""),"Виталий Егоров")</f>
        <v>Виталий Егоров</v>
      </c>
      <c r="F42" s="3" t="str">
        <f>IFERROR(__xludf.DUMMYFUNCTION("""COMPUTED_VALUE"""),"Александр Еланчик")</f>
        <v>Александр Еланчик</v>
      </c>
      <c r="G42" s="3"/>
    </row>
    <row r="43">
      <c r="A43" s="3">
        <f>IFERROR(__xludf.DUMMYFUNCTION("""COMPUTED_VALUE"""),55.0)</f>
        <v>55</v>
      </c>
      <c r="B43" s="3">
        <f>IFERROR(__xludf.DUMMYFUNCTION("""COMPUTED_VALUE"""),45.0)</f>
        <v>45</v>
      </c>
      <c r="C43" s="3" t="str">
        <f>IFERROR(__xludf.DUMMYFUNCTION("""COMPUTED_VALUE"""),"Квики ")</f>
        <v>Квики </v>
      </c>
      <c r="D43" s="3" t="str">
        <f>IFERROR(__xludf.DUMMYFUNCTION("""COMPUTED_VALUE"""),"Муравьева Ладана Александровна")</f>
        <v>Муравьева Ладана Александровна</v>
      </c>
      <c r="E43" s="3"/>
      <c r="F43" s="3"/>
      <c r="G43" s="3" t="str">
        <f>IFERROR(__xludf.DUMMYFUNCTION("""COMPUTED_VALUE"""),"подтверждена ")</f>
        <v>подтверждена </v>
      </c>
    </row>
    <row r="44">
      <c r="A44" s="3">
        <f>IFERROR(__xludf.DUMMYFUNCTION("""COMPUTED_VALUE"""),53.0)</f>
        <v>53</v>
      </c>
      <c r="B44" s="3">
        <f>IFERROR(__xludf.DUMMYFUNCTION("""COMPUTED_VALUE"""),45.0)</f>
        <v>45</v>
      </c>
      <c r="C44" s="3" t="str">
        <f>IFERROR(__xludf.DUMMYFUNCTION("""COMPUTED_VALUE"""),"Тефтели в микроволновке")</f>
        <v>Тефтели в микроволновке</v>
      </c>
      <c r="D44" s="3" t="str">
        <f>IFERROR(__xludf.DUMMYFUNCTION("""COMPUTED_VALUE"""),"Гуськов Максим Владимирович")</f>
        <v>Гуськов Максим Владимирович</v>
      </c>
      <c r="E44" s="3" t="str">
        <f>IFERROR(__xludf.DUMMYFUNCTION("""COMPUTED_VALUE"""),"Сипягин Иоанн")</f>
        <v>Сипягин Иоанн</v>
      </c>
      <c r="F44" s="3" t="str">
        <f>IFERROR(__xludf.DUMMYFUNCTION("""COMPUTED_VALUE"""),"Александр Коваленко")</f>
        <v>Александр Коваленко</v>
      </c>
      <c r="G44" s="3" t="str">
        <f>IFERROR(__xludf.DUMMYFUNCTION("""COMPUTED_VALUE"""),"подтверждена ")</f>
        <v>подтверждена </v>
      </c>
    </row>
    <row r="45">
      <c r="A45" s="3">
        <f>IFERROR(__xludf.DUMMYFUNCTION("""COMPUTED_VALUE"""),1.0)</f>
        <v>1</v>
      </c>
      <c r="B45" s="3">
        <f>IFERROR(__xludf.DUMMYFUNCTION("""COMPUTED_VALUE"""),35.0)</f>
        <v>35</v>
      </c>
      <c r="C45" s="3" t="str">
        <f>IFERROR(__xludf.DUMMYFUNCTION("""COMPUTED_VALUE"""),"Zlohobbit")</f>
        <v>Zlohobbit</v>
      </c>
      <c r="D45" s="3" t="str">
        <f>IFERROR(__xludf.DUMMYFUNCTION("""COMPUTED_VALUE"""),"Левин Игорь")</f>
        <v>Левин Игорь</v>
      </c>
      <c r="E45" s="3" t="str">
        <f>IFERROR(__xludf.DUMMYFUNCTION("""COMPUTED_VALUE"""),"Волгин Алексей")</f>
        <v>Волгин Алексей</v>
      </c>
      <c r="F45" s="3"/>
      <c r="G45" s="3" t="str">
        <f>IFERROR(__xludf.DUMMYFUNCTION("""COMPUTED_VALUE"""),"подтверждена ")</f>
        <v>подтверждена </v>
      </c>
    </row>
    <row r="46">
      <c r="A46" s="3">
        <f>IFERROR(__xludf.DUMMYFUNCTION("""COMPUTED_VALUE"""),88.0)</f>
        <v>88</v>
      </c>
      <c r="B46" s="3">
        <f>IFERROR(__xludf.DUMMYFUNCTION("""COMPUTED_VALUE"""),45.0)</f>
        <v>45</v>
      </c>
      <c r="C46" s="3"/>
      <c r="D46" s="3" t="str">
        <f>IFERROR(__xludf.DUMMYFUNCTION("""COMPUTED_VALUE"""),"Володин Антон Юрьевич")</f>
        <v>Володин Антон Юрьевич</v>
      </c>
      <c r="E46" s="3"/>
      <c r="F46" s="3"/>
      <c r="G46" s="3"/>
    </row>
    <row r="47">
      <c r="A47" s="3">
        <f>IFERROR(__xludf.DUMMYFUNCTION("""COMPUTED_VALUE"""),65.0)</f>
        <v>65</v>
      </c>
      <c r="B47" s="3">
        <f>IFERROR(__xludf.DUMMYFUNCTION("""COMPUTED_VALUE"""),35.0)</f>
        <v>35</v>
      </c>
      <c r="C47" s="3" t="str">
        <f>IFERROR(__xludf.DUMMYFUNCTION("""COMPUTED_VALUE"""),"Фуражка-Окими")</f>
        <v>Фуражка-Окими</v>
      </c>
      <c r="D47" s="3" t="str">
        <f>IFERROR(__xludf.DUMMYFUNCTION("""COMPUTED_VALUE"""),"Ольга Котляр")</f>
        <v>Ольга Котляр</v>
      </c>
      <c r="E47" s="3" t="str">
        <f>IFERROR(__xludf.DUMMYFUNCTION("""COMPUTED_VALUE"""),"Евгений Котляр")</f>
        <v>Евгений Котляр</v>
      </c>
      <c r="F47" s="3" t="str">
        <f>IFERROR(__xludf.DUMMYFUNCTION("""COMPUTED_VALUE"""),"Антон Гриднев")</f>
        <v>Антон Гриднев</v>
      </c>
      <c r="G47" s="3" t="str">
        <f>IFERROR(__xludf.DUMMYFUNCTION("""COMPUTED_VALUE"""),"подтверждена ")</f>
        <v>подтверждена </v>
      </c>
    </row>
    <row r="48">
      <c r="A48" s="3">
        <f>IFERROR(__xludf.DUMMYFUNCTION("""COMPUTED_VALUE"""),74.0)</f>
        <v>74</v>
      </c>
      <c r="B48" s="3">
        <f>IFERROR(__xludf.DUMMYFUNCTION("""COMPUTED_VALUE"""),35.0)</f>
        <v>35</v>
      </c>
      <c r="C48" s="3" t="str">
        <f>IFERROR(__xludf.DUMMYFUNCTION("""COMPUTED_VALUE"""),"Квиддич")</f>
        <v>Квиддич</v>
      </c>
      <c r="D48" s="3" t="str">
        <f>IFERROR(__xludf.DUMMYFUNCTION("""COMPUTED_VALUE"""),"Истомина Ксения Дмитриевна ")</f>
        <v>Истомина Ксения Дмитриевна </v>
      </c>
      <c r="E48" s="3" t="str">
        <f>IFERROR(__xludf.DUMMYFUNCTION("""COMPUTED_VALUE"""),"Эйдельман Александра Борисовна")</f>
        <v>Эйдельман Александра Борисовна</v>
      </c>
      <c r="F48" s="3"/>
      <c r="G48" s="3"/>
    </row>
    <row r="49">
      <c r="A49" s="3">
        <f>IFERROR(__xludf.DUMMYFUNCTION("""COMPUTED_VALUE"""),83.0)</f>
        <v>83</v>
      </c>
      <c r="B49" s="3">
        <f>IFERROR(__xludf.DUMMYFUNCTION("""COMPUTED_VALUE"""),35.0)</f>
        <v>35</v>
      </c>
      <c r="C49" s="3" t="str">
        <f>IFERROR(__xludf.DUMMYFUNCTION("""COMPUTED_VALUE"""),"Владимир")</f>
        <v>Владимир</v>
      </c>
      <c r="D49" s="3" t="str">
        <f>IFERROR(__xludf.DUMMYFUNCTION("""COMPUTED_VALUE"""),"Гуськов Владимир")</f>
        <v>Гуськов Владимир</v>
      </c>
      <c r="E49" s="3"/>
      <c r="F49" s="3"/>
      <c r="G49" s="3"/>
    </row>
    <row r="50">
      <c r="A50" s="3">
        <f>IFERROR(__xludf.DUMMYFUNCTION("""COMPUTED_VALUE"""),9.0)</f>
        <v>9</v>
      </c>
      <c r="B50" s="3">
        <f>IFERROR(__xludf.DUMMYFUNCTION("""COMPUTED_VALUE"""),45.0)</f>
        <v>45</v>
      </c>
      <c r="C50" s="3" t="str">
        <f>IFERROR(__xludf.DUMMYFUNCTION("""COMPUTED_VALUE"""),"[oh] Zdvig")</f>
        <v>[oh] Zdvig</v>
      </c>
      <c r="D50" s="3" t="str">
        <f>IFERROR(__xludf.DUMMYFUNCTION("""COMPUTED_VALUE"""),"Моисеев Роман Александрович")</f>
        <v>Моисеев Роман Александрович</v>
      </c>
      <c r="E50" s="3"/>
      <c r="F50" s="3"/>
      <c r="G50" s="3" t="str">
        <f>IFERROR(__xludf.DUMMYFUNCTION("""COMPUTED_VALUE"""),"подтверждена ")</f>
        <v>подтверждена </v>
      </c>
    </row>
    <row r="51">
      <c r="A51" s="3">
        <f>IFERROR(__xludf.DUMMYFUNCTION("""COMPUTED_VALUE"""),32.0)</f>
        <v>32</v>
      </c>
      <c r="B51" s="3">
        <f>IFERROR(__xludf.DUMMYFUNCTION("""COMPUTED_VALUE"""),45.0)</f>
        <v>45</v>
      </c>
      <c r="C51" s="3" t="str">
        <f>IFERROR(__xludf.DUMMYFUNCTION("""COMPUTED_VALUE"""),"Передачу Пониже")</f>
        <v>Передачу Пониже</v>
      </c>
      <c r="D51" s="3" t="str">
        <f>IFERROR(__xludf.DUMMYFUNCTION("""COMPUTED_VALUE"""),"Гаврилова Евгения")</f>
        <v>Гаврилова Евгения</v>
      </c>
      <c r="E51" s="3"/>
      <c r="F51" s="3"/>
      <c r="G51" s="3" t="str">
        <f>IFERROR(__xludf.DUMMYFUNCTION("""COMPUTED_VALUE"""),"подтверждена ")</f>
        <v>подтверждена </v>
      </c>
    </row>
    <row r="52">
      <c r="A52" s="3">
        <f>IFERROR(__xludf.DUMMYFUNCTION("""COMPUTED_VALUE"""),6.0)</f>
        <v>6</v>
      </c>
      <c r="B52" s="3">
        <f>IFERROR(__xludf.DUMMYFUNCTION("""COMPUTED_VALUE"""),35.0)</f>
        <v>35</v>
      </c>
      <c r="C52" s="3" t="str">
        <f>IFERROR(__xludf.DUMMYFUNCTION("""COMPUTED_VALUE"""),"Команда 47")</f>
        <v>Команда 47</v>
      </c>
      <c r="D52" s="3" t="str">
        <f>IFERROR(__xludf.DUMMYFUNCTION("""COMPUTED_VALUE"""),"Глазунов Михаил Константинович")</f>
        <v>Глазунов Михаил Константинович</v>
      </c>
      <c r="E52" s="3" t="str">
        <f>IFERROR(__xludf.DUMMYFUNCTION("""COMPUTED_VALUE"""),"Лилия")</f>
        <v>Лилия</v>
      </c>
      <c r="F52" s="3" t="str">
        <f>IFERROR(__xludf.DUMMYFUNCTION("""COMPUTED_VALUE"""),"Александр")</f>
        <v>Александр</v>
      </c>
      <c r="G52" s="3" t="str">
        <f>IFERROR(__xludf.DUMMYFUNCTION("""COMPUTED_VALUE"""),"подтверждена ")</f>
        <v>подтверждена </v>
      </c>
    </row>
    <row r="53">
      <c r="A53" s="3">
        <f>IFERROR(__xludf.DUMMYFUNCTION("""COMPUTED_VALUE"""),13.0)</f>
        <v>13</v>
      </c>
      <c r="B53" s="3">
        <f>IFERROR(__xludf.DUMMYFUNCTION("""COMPUTED_VALUE"""),45.0)</f>
        <v>45</v>
      </c>
      <c r="C53" s="3" t="str">
        <f>IFERROR(__xludf.DUMMYFUNCTION("""COMPUTED_VALUE"""),"ватрУшка")</f>
        <v>ватрУшка</v>
      </c>
      <c r="D53" s="3" t="str">
        <f>IFERROR(__xludf.DUMMYFUNCTION("""COMPUTED_VALUE"""),"Назаров Николай Иванович")</f>
        <v>Назаров Николай Иванович</v>
      </c>
      <c r="E53" s="3" t="str">
        <f>IFERROR(__xludf.DUMMYFUNCTION("""COMPUTED_VALUE"""),"Руденко Ольга Витальевна")</f>
        <v>Руденко Ольга Витальевна</v>
      </c>
      <c r="F53" s="3"/>
      <c r="G53" s="3" t="str">
        <f>IFERROR(__xludf.DUMMYFUNCTION("""COMPUTED_VALUE"""),"подтверждена ")</f>
        <v>подтверждена </v>
      </c>
    </row>
    <row r="54">
      <c r="A54" s="3">
        <f>IFERROR(__xludf.DUMMYFUNCTION("""COMPUTED_VALUE"""),35.0)</f>
        <v>35</v>
      </c>
      <c r="B54" s="3">
        <f>IFERROR(__xludf.DUMMYFUNCTION("""COMPUTED_VALUE"""),65.0)</f>
        <v>65</v>
      </c>
      <c r="C54" s="3" t="str">
        <f>IFERROR(__xludf.DUMMYFUNCTION("""COMPUTED_VALUE"""),"Polkeda")</f>
        <v>Polkeda</v>
      </c>
      <c r="D54" s="3" t="str">
        <f>IFERROR(__xludf.DUMMYFUNCTION("""COMPUTED_VALUE"""),"Строганов Александр Аркадьевич")</f>
        <v>Строганов Александр Аркадьевич</v>
      </c>
      <c r="E54" s="3"/>
      <c r="F54" s="3"/>
      <c r="G54" s="3" t="str">
        <f>IFERROR(__xludf.DUMMYFUNCTION("""COMPUTED_VALUE"""),"подтверждена ")</f>
        <v>подтверждена </v>
      </c>
    </row>
    <row r="55">
      <c r="A55" s="3">
        <f>IFERROR(__xludf.DUMMYFUNCTION("""COMPUTED_VALUE"""),91.0)</f>
        <v>91</v>
      </c>
      <c r="B55" s="3">
        <f>IFERROR(__xludf.DUMMYFUNCTION("""COMPUTED_VALUE"""),35.0)</f>
        <v>35</v>
      </c>
      <c r="C55" s="3" t="str">
        <f>IFERROR(__xludf.DUMMYFUNCTION("""COMPUTED_VALUE"""),"Офисный планктон")</f>
        <v>Офисный планктон</v>
      </c>
      <c r="D55" s="3" t="str">
        <f>IFERROR(__xludf.DUMMYFUNCTION("""COMPUTED_VALUE"""),"Соколов Алексей Викторович")</f>
        <v>Соколов Алексей Викторович</v>
      </c>
      <c r="E55" s="3" t="str">
        <f>IFERROR(__xludf.DUMMYFUNCTION("""COMPUTED_VALUE"""),"Соколова Юлия Юрьевна")</f>
        <v>Соколова Юлия Юрьевна</v>
      </c>
      <c r="F55" s="3"/>
      <c r="G55" s="3" t="str">
        <f>IFERROR(__xludf.DUMMYFUNCTION("""COMPUTED_VALUE"""),"подтверждена ")</f>
        <v>подтверждена </v>
      </c>
    </row>
    <row r="56">
      <c r="A56" s="3">
        <f>IFERROR(__xludf.DUMMYFUNCTION("""COMPUTED_VALUE"""),79.0)</f>
        <v>79</v>
      </c>
      <c r="B56" s="3">
        <f>IFERROR(__xludf.DUMMYFUNCTION("""COMPUTED_VALUE"""),35.0)</f>
        <v>35</v>
      </c>
      <c r="C56" s="3" t="str">
        <f>IFERROR(__xludf.DUMMYFUNCTION("""COMPUTED_VALUE"""),"Ежики в берлоге")</f>
        <v>Ежики в берлоге</v>
      </c>
      <c r="D56" s="3" t="str">
        <f>IFERROR(__xludf.DUMMYFUNCTION("""COMPUTED_VALUE"""),"Веселов Ярослав Васильевич")</f>
        <v>Веселов Ярослав Васильевич</v>
      </c>
      <c r="E56" s="3" t="str">
        <f>IFERROR(__xludf.DUMMYFUNCTION("""COMPUTED_VALUE"""),"Веселова Екатерина Сергеевна")</f>
        <v>Веселова Екатерина Сергеевна</v>
      </c>
      <c r="F56" s="3"/>
      <c r="G56" s="3" t="str">
        <f>IFERROR(__xludf.DUMMYFUNCTION("""COMPUTED_VALUE"""),"подтверждена ")</f>
        <v>подтверждена </v>
      </c>
    </row>
    <row r="57">
      <c r="A57" s="3">
        <f>IFERROR(__xludf.DUMMYFUNCTION("""COMPUTED_VALUE"""),60.0)</f>
        <v>60</v>
      </c>
      <c r="B57" s="3">
        <f>IFERROR(__xludf.DUMMYFUNCTION("""COMPUTED_VALUE"""),65.0)</f>
        <v>65</v>
      </c>
      <c r="C57" s="3"/>
      <c r="D57" s="3" t="str">
        <f>IFERROR(__xludf.DUMMYFUNCTION("""COMPUTED_VALUE"""),"Иванов Андрей")</f>
        <v>Иванов Андрей</v>
      </c>
      <c r="E57" s="3"/>
      <c r="F57" s="3"/>
      <c r="G57" s="3" t="str">
        <f>IFERROR(__xludf.DUMMYFUNCTION("""COMPUTED_VALUE"""),"подтверждена ")</f>
        <v>подтверждена </v>
      </c>
    </row>
    <row r="58">
      <c r="A58" s="3">
        <f>IFERROR(__xludf.DUMMYFUNCTION("""COMPUTED_VALUE"""),80.0)</f>
        <v>80</v>
      </c>
      <c r="B58" s="3">
        <f>IFERROR(__xludf.DUMMYFUNCTION("""COMPUTED_VALUE"""),45.0)</f>
        <v>45</v>
      </c>
      <c r="C58" s="3"/>
      <c r="D58" s="3" t="str">
        <f>IFERROR(__xludf.DUMMYFUNCTION("""COMPUTED_VALUE"""),"Самородов Михаил Юрьевич")</f>
        <v>Самородов Михаил Юрьевич</v>
      </c>
      <c r="E58" s="3"/>
      <c r="F58" s="3"/>
      <c r="G58" s="3" t="str">
        <f>IFERROR(__xludf.DUMMYFUNCTION("""COMPUTED_VALUE"""),"подтверждена ")</f>
        <v>подтверждена </v>
      </c>
    </row>
    <row r="59">
      <c r="A59" s="3">
        <f>IFERROR(__xludf.DUMMYFUNCTION("""COMPUTED_VALUE"""),12.0)</f>
        <v>12</v>
      </c>
      <c r="B59" s="3">
        <f>IFERROR(__xludf.DUMMYFUNCTION("""COMPUTED_VALUE"""),45.0)</f>
        <v>45</v>
      </c>
      <c r="C59" s="3" t="str">
        <f>IFERROR(__xludf.DUMMYFUNCTION("""COMPUTED_VALUE"""),"Тихоходы")</f>
        <v>Тихоходы</v>
      </c>
      <c r="D59" s="3" t="str">
        <f>IFERROR(__xludf.DUMMYFUNCTION("""COMPUTED_VALUE"""),"Данилов Руслан Владимирович")</f>
        <v>Данилов Руслан Владимирович</v>
      </c>
      <c r="E59" s="3"/>
      <c r="F59" s="3"/>
      <c r="G59" s="3" t="str">
        <f>IFERROR(__xludf.DUMMYFUNCTION("""COMPUTED_VALUE"""),"подтверждена ")</f>
        <v>подтверждена </v>
      </c>
    </row>
    <row r="60">
      <c r="A60" s="3">
        <f>IFERROR(__xludf.DUMMYFUNCTION("""COMPUTED_VALUE"""),59.0)</f>
        <v>59</v>
      </c>
      <c r="B60" s="3">
        <f>IFERROR(__xludf.DUMMYFUNCTION("""COMPUTED_VALUE"""),35.0)</f>
        <v>35</v>
      </c>
      <c r="C60" s="3" t="str">
        <f>IFERROR(__xludf.DUMMYFUNCTION("""COMPUTED_VALUE"""),"Семейка")</f>
        <v>Семейка</v>
      </c>
      <c r="D60" s="3" t="str">
        <f>IFERROR(__xludf.DUMMYFUNCTION("""COMPUTED_VALUE"""),"Беляева Ольга ")</f>
        <v>Беляева Ольга </v>
      </c>
      <c r="E60" s="3" t="str">
        <f>IFERROR(__xludf.DUMMYFUNCTION("""COMPUTED_VALUE"""),"Тупицын  Александр ")</f>
        <v>Тупицын  Александр </v>
      </c>
      <c r="F60" s="3" t="str">
        <f>IFERROR(__xludf.DUMMYFUNCTION("""COMPUTED_VALUE"""),"Беляев Михаил ")</f>
        <v>Беляев Михаил </v>
      </c>
      <c r="G60" s="3" t="str">
        <f>IFERROR(__xludf.DUMMYFUNCTION("""COMPUTED_VALUE"""),"подтверждена ")</f>
        <v>подтверждена </v>
      </c>
    </row>
    <row r="61">
      <c r="A61" s="3">
        <f>IFERROR(__xludf.DUMMYFUNCTION("""COMPUTED_VALUE"""),69.0)</f>
        <v>69</v>
      </c>
      <c r="B61" s="3">
        <f>IFERROR(__xludf.DUMMYFUNCTION("""COMPUTED_VALUE"""),45.0)</f>
        <v>45</v>
      </c>
      <c r="C61" s="3"/>
      <c r="D61" s="3" t="str">
        <f>IFERROR(__xludf.DUMMYFUNCTION("""COMPUTED_VALUE"""),"Куликов Егор Юрьевич")</f>
        <v>Куликов Егор Юрьевич</v>
      </c>
      <c r="E61" s="3"/>
      <c r="F61" s="3"/>
      <c r="G61" s="3" t="str">
        <f>IFERROR(__xludf.DUMMYFUNCTION("""COMPUTED_VALUE"""),"подтверждена ")</f>
        <v>подтверждена </v>
      </c>
    </row>
    <row r="62">
      <c r="A62" s="3">
        <f>IFERROR(__xludf.DUMMYFUNCTION("""COMPUTED_VALUE"""),84.0)</f>
        <v>84</v>
      </c>
      <c r="B62" s="3">
        <f>IFERROR(__xludf.DUMMYFUNCTION("""COMPUTED_VALUE"""),45.0)</f>
        <v>45</v>
      </c>
      <c r="C62" s="3" t="str">
        <f>IFERROR(__xludf.DUMMYFUNCTION("""COMPUTED_VALUE"""),"Иду один")</f>
        <v>Иду один</v>
      </c>
      <c r="D62" s="3" t="str">
        <f>IFERROR(__xludf.DUMMYFUNCTION("""COMPUTED_VALUE"""),"Храпов Артём Дмитриевич")</f>
        <v>Храпов Артём Дмитриевич</v>
      </c>
      <c r="E62" s="3"/>
      <c r="F62" s="3"/>
      <c r="G62" s="3"/>
    </row>
    <row r="63">
      <c r="A63" s="3">
        <f>IFERROR(__xludf.DUMMYFUNCTION("""COMPUTED_VALUE"""),30.0)</f>
        <v>30</v>
      </c>
      <c r="B63" s="3">
        <f>IFERROR(__xludf.DUMMYFUNCTION("""COMPUTED_VALUE"""),65.0)</f>
        <v>65</v>
      </c>
      <c r="C63" s="3" t="str">
        <f>IFERROR(__xludf.DUMMYFUNCTION("""COMPUTED_VALUE"""),"Маршал")</f>
        <v>Маршал</v>
      </c>
      <c r="D63" s="3" t="str">
        <f>IFERROR(__xludf.DUMMYFUNCTION("""COMPUTED_VALUE"""),"Андреев Максим Андревич")</f>
        <v>Андреев Максим Андревич</v>
      </c>
      <c r="E63" s="3"/>
      <c r="F63" s="3"/>
      <c r="G63" s="3" t="str">
        <f>IFERROR(__xludf.DUMMYFUNCTION("""COMPUTED_VALUE"""),"подтверждена ")</f>
        <v>подтверждена </v>
      </c>
    </row>
    <row r="64">
      <c r="A64" s="3">
        <f>IFERROR(__xludf.DUMMYFUNCTION("""COMPUTED_VALUE"""),94.0)</f>
        <v>94</v>
      </c>
      <c r="B64" s="3">
        <f>IFERROR(__xludf.DUMMYFUNCTION("""COMPUTED_VALUE"""),45.0)</f>
        <v>45</v>
      </c>
      <c r="C64" s="3" t="str">
        <f>IFERROR(__xludf.DUMMYFUNCTION("""COMPUTED_VALUE"""),"Маятниковые миграции")</f>
        <v>Маятниковые миграции</v>
      </c>
      <c r="D64" s="3" t="str">
        <f>IFERROR(__xludf.DUMMYFUNCTION("""COMPUTED_VALUE"""),"Кирилл")</f>
        <v>Кирилл</v>
      </c>
      <c r="E64" s="3" t="str">
        <f>IFERROR(__xludf.DUMMYFUNCTION("""COMPUTED_VALUE"""),"Светлана")</f>
        <v>Светлана</v>
      </c>
      <c r="F64" s="3"/>
      <c r="G64" s="3"/>
    </row>
    <row r="65">
      <c r="A65" s="3">
        <f>IFERROR(__xludf.DUMMYFUNCTION("""COMPUTED_VALUE"""),7.0)</f>
        <v>7</v>
      </c>
      <c r="B65" s="3">
        <f>IFERROR(__xludf.DUMMYFUNCTION("""COMPUTED_VALUE"""),100.0)</f>
        <v>100</v>
      </c>
      <c r="C65" s="3" t="str">
        <f>IFERROR(__xludf.DUMMYFUNCTION("""COMPUTED_VALUE"""),"Sunny")</f>
        <v>Sunny</v>
      </c>
      <c r="D65" s="3" t="str">
        <f>IFERROR(__xludf.DUMMYFUNCTION("""COMPUTED_VALUE"""),"Кузнецова Светлана")</f>
        <v>Кузнецова Светлана</v>
      </c>
      <c r="E65" s="3"/>
      <c r="F65" s="3"/>
      <c r="G65" s="3" t="str">
        <f>IFERROR(__xludf.DUMMYFUNCTION("""COMPUTED_VALUE"""),"подтверждена ")</f>
        <v>подтверждена </v>
      </c>
    </row>
    <row r="66">
      <c r="A66" s="3">
        <f>IFERROR(__xludf.DUMMYFUNCTION("""COMPUTED_VALUE"""),3.0)</f>
        <v>3</v>
      </c>
      <c r="B66" s="3">
        <f>IFERROR(__xludf.DUMMYFUNCTION("""COMPUTED_VALUE"""),100.0)</f>
        <v>100</v>
      </c>
      <c r="C66" s="3"/>
      <c r="D66" s="3" t="str">
        <f>IFERROR(__xludf.DUMMYFUNCTION("""COMPUTED_VALUE"""),"Брагин Андрей")</f>
        <v>Брагин Андрей</v>
      </c>
      <c r="E66" s="3"/>
      <c r="F66" s="3"/>
      <c r="G66" s="3" t="str">
        <f>IFERROR(__xludf.DUMMYFUNCTION("""COMPUTED_VALUE"""),"подтверждена ")</f>
        <v>подтверждена </v>
      </c>
    </row>
    <row r="67">
      <c r="A67" s="3">
        <f>IFERROR(__xludf.DUMMYFUNCTION("""COMPUTED_VALUE"""),26.0)</f>
        <v>26</v>
      </c>
      <c r="B67" s="3">
        <f>IFERROR(__xludf.DUMMYFUNCTION("""COMPUTED_VALUE"""),65.0)</f>
        <v>65</v>
      </c>
      <c r="C67" s="3" t="str">
        <f>IFERROR(__xludf.DUMMYFUNCTION("""COMPUTED_VALUE"""),"Урюк")</f>
        <v>Урюк</v>
      </c>
      <c r="D67" s="3" t="str">
        <f>IFERROR(__xludf.DUMMYFUNCTION("""COMPUTED_VALUE"""),"Федорова Алла")</f>
        <v>Федорова Алла</v>
      </c>
      <c r="E67" s="3"/>
      <c r="F67" s="3"/>
      <c r="G67" s="3" t="str">
        <f>IFERROR(__xludf.DUMMYFUNCTION("""COMPUTED_VALUE"""),"подтверждена ")</f>
        <v>подтверждена </v>
      </c>
    </row>
    <row r="68">
      <c r="A68" s="3">
        <f>IFERROR(__xludf.DUMMYFUNCTION("""COMPUTED_VALUE"""),29.0)</f>
        <v>29</v>
      </c>
      <c r="B68" s="3">
        <f>IFERROR(__xludf.DUMMYFUNCTION("""COMPUTED_VALUE"""),100.0)</f>
        <v>100</v>
      </c>
      <c r="C68" s="3" t="str">
        <f>IFERROR(__xludf.DUMMYFUNCTION("""COMPUTED_VALUE"""),"ТК ВШЭ")</f>
        <v>ТК ВШЭ</v>
      </c>
      <c r="D68" s="3" t="str">
        <f>IFERROR(__xludf.DUMMYFUNCTION("""COMPUTED_VALUE"""),"Кудрявцев Никита Владимирович")</f>
        <v>Кудрявцев Никита Владимирович</v>
      </c>
      <c r="E68" s="3"/>
      <c r="F68" s="3"/>
      <c r="G68" s="3" t="str">
        <f>IFERROR(__xludf.DUMMYFUNCTION("""COMPUTED_VALUE"""),"подтверждена ")</f>
        <v>подтверждена </v>
      </c>
    </row>
    <row r="69">
      <c r="A69" s="3">
        <f>IFERROR(__xludf.DUMMYFUNCTION("""COMPUTED_VALUE"""),72.0)</f>
        <v>72</v>
      </c>
      <c r="B69" s="3">
        <f>IFERROR(__xludf.DUMMYFUNCTION("""COMPUTED_VALUE"""),65.0)</f>
        <v>65</v>
      </c>
      <c r="C69" s="3" t="str">
        <f>IFERROR(__xludf.DUMMYFUNCTION("""COMPUTED_VALUE"""),"Ломильщики")</f>
        <v>Ломильщики</v>
      </c>
      <c r="D69" s="3" t="str">
        <f>IFERROR(__xludf.DUMMYFUNCTION("""COMPUTED_VALUE"""),"Шляков Евгений Викторович")</f>
        <v>Шляков Евгений Викторович</v>
      </c>
      <c r="E69" s="3" t="str">
        <f>IFERROR(__xludf.DUMMYFUNCTION("""COMPUTED_VALUE"""),"Юлия Вороненко")</f>
        <v>Юлия Вороненко</v>
      </c>
      <c r="F69" s="3"/>
      <c r="G69" s="3" t="str">
        <f>IFERROR(__xludf.DUMMYFUNCTION("""COMPUTED_VALUE"""),"подтверждена ")</f>
        <v>подтверждена </v>
      </c>
    </row>
    <row r="70">
      <c r="A70" s="3">
        <f>IFERROR(__xludf.DUMMYFUNCTION("""COMPUTED_VALUE"""),11.0)</f>
        <v>11</v>
      </c>
      <c r="B70" s="3">
        <f>IFERROR(__xludf.DUMMYFUNCTION("""COMPUTED_VALUE"""),100.0)</f>
        <v>100</v>
      </c>
      <c r="C70" s="3" t="str">
        <f>IFERROR(__xludf.DUMMYFUNCTION("""COMPUTED_VALUE"""),"Пуф")</f>
        <v>Пуф</v>
      </c>
      <c r="D70" s="3" t="str">
        <f>IFERROR(__xludf.DUMMYFUNCTION("""COMPUTED_VALUE"""),"Балыков Дмитрий Сергеевич")</f>
        <v>Балыков Дмитрий Сергеевич</v>
      </c>
      <c r="E70" s="3" t="str">
        <f>IFERROR(__xludf.DUMMYFUNCTION("""COMPUTED_VALUE"""),"Степченко Алексей Васильевич")</f>
        <v>Степченко Алексей Васильевич</v>
      </c>
      <c r="F70" s="3"/>
      <c r="G70" s="3"/>
    </row>
    <row r="71">
      <c r="A71" s="3">
        <f>IFERROR(__xludf.DUMMYFUNCTION("""COMPUTED_VALUE"""),18.0)</f>
        <v>18</v>
      </c>
      <c r="B71" s="3">
        <f>IFERROR(__xludf.DUMMYFUNCTION("""COMPUTED_VALUE"""),100.0)</f>
        <v>100</v>
      </c>
      <c r="C71" s="3" t="str">
        <f>IFERROR(__xludf.DUMMYFUNCTION("""COMPUTED_VALUE"""),"Адский Бульдозер")</f>
        <v>Адский Бульдозер</v>
      </c>
      <c r="D71" s="3" t="str">
        <f>IFERROR(__xludf.DUMMYFUNCTION("""COMPUTED_VALUE"""),"Браверман Елена Борисовна")</f>
        <v>Браверман Елена Борисовна</v>
      </c>
      <c r="E71" s="3"/>
      <c r="F71" s="3"/>
      <c r="G71" s="3" t="str">
        <f>IFERROR(__xludf.DUMMYFUNCTION("""COMPUTED_VALUE"""),"подтверждена ")</f>
        <v>подтверждена </v>
      </c>
    </row>
    <row r="72">
      <c r="A72" s="3">
        <f>IFERROR(__xludf.DUMMYFUNCTION("""COMPUTED_VALUE"""),63.0)</f>
        <v>63</v>
      </c>
      <c r="B72" s="3">
        <f>IFERROR(__xludf.DUMMYFUNCTION("""COMPUTED_VALUE"""),65.0)</f>
        <v>65</v>
      </c>
      <c r="C72" s="3"/>
      <c r="D72" s="3" t="str">
        <f>IFERROR(__xludf.DUMMYFUNCTION("""COMPUTED_VALUE"""),"Анна Голева")</f>
        <v>Анна Голева</v>
      </c>
      <c r="E72" s="3"/>
      <c r="F72" s="3"/>
      <c r="G72" s="3" t="str">
        <f>IFERROR(__xludf.DUMMYFUNCTION("""COMPUTED_VALUE"""),"подтверждена ")</f>
        <v>подтверждена </v>
      </c>
    </row>
    <row r="73">
      <c r="A73" s="3">
        <f>IFERROR(__xludf.DUMMYFUNCTION("""COMPUTED_VALUE"""),44.0)</f>
        <v>44</v>
      </c>
      <c r="B73" s="3">
        <f>IFERROR(__xludf.DUMMYFUNCTION("""COMPUTED_VALUE"""),65.0)</f>
        <v>65</v>
      </c>
      <c r="C73" s="3"/>
      <c r="D73" s="3" t="str">
        <f>IFERROR(__xludf.DUMMYFUNCTION("""COMPUTED_VALUE"""),"Сергейчик Юрий Сергеевич")</f>
        <v>Сергейчик Юрий Сергеевич</v>
      </c>
      <c r="E73" s="3"/>
      <c r="F73" s="3"/>
      <c r="G73" s="3" t="str">
        <f>IFERROR(__xludf.DUMMYFUNCTION("""COMPUTED_VALUE"""),"подтверждена ")</f>
        <v>подтверждена </v>
      </c>
    </row>
    <row r="74">
      <c r="A74" s="3">
        <f>IFERROR(__xludf.DUMMYFUNCTION("""COMPUTED_VALUE"""),5.0)</f>
        <v>5</v>
      </c>
      <c r="B74" s="3">
        <f>IFERROR(__xludf.DUMMYFUNCTION("""COMPUTED_VALUE"""),100.0)</f>
        <v>100</v>
      </c>
      <c r="C74" s="3" t="str">
        <f>IFERROR(__xludf.DUMMYFUNCTION("""COMPUTED_VALUE"""),"Лесной мопс")</f>
        <v>Лесной мопс</v>
      </c>
      <c r="D74" s="3" t="str">
        <f>IFERROR(__xludf.DUMMYFUNCTION("""COMPUTED_VALUE"""),"Журбина Ирина Александровна ")</f>
        <v>Журбина Ирина Александровна </v>
      </c>
      <c r="E74" s="3"/>
      <c r="F74" s="3"/>
      <c r="G74" s="3" t="str">
        <f>IFERROR(__xludf.DUMMYFUNCTION("""COMPUTED_VALUE"""),"подтверждена ")</f>
        <v>подтверждена </v>
      </c>
    </row>
    <row r="75">
      <c r="A75" s="3">
        <f>IFERROR(__xludf.DUMMYFUNCTION("""COMPUTED_VALUE"""),19.0)</f>
        <v>19</v>
      </c>
      <c r="B75" s="3">
        <f>IFERROR(__xludf.DUMMYFUNCTION("""COMPUTED_VALUE"""),65.0)</f>
        <v>65</v>
      </c>
      <c r="C75" s="3" t="str">
        <f>IFERROR(__xludf.DUMMYFUNCTION("""COMPUTED_VALUE"""),"Счастливой дороги!")</f>
        <v>Счастливой дороги!</v>
      </c>
      <c r="D75" s="3" t="str">
        <f>IFERROR(__xludf.DUMMYFUNCTION("""COMPUTED_VALUE"""),"Скорик Анастасия Валерьевна")</f>
        <v>Скорик Анастасия Валерьевна</v>
      </c>
      <c r="E75" s="3" t="str">
        <f>IFERROR(__xludf.DUMMYFUNCTION("""COMPUTED_VALUE"""),"Скорик Денис Викторович ")</f>
        <v>Скорик Денис Викторович </v>
      </c>
      <c r="F75" s="3"/>
      <c r="G75" s="3" t="str">
        <f>IFERROR(__xludf.DUMMYFUNCTION("""COMPUTED_VALUE"""),"подтверждена ")</f>
        <v>подтверждена </v>
      </c>
    </row>
    <row r="76">
      <c r="A76" s="3">
        <f>IFERROR(__xludf.DUMMYFUNCTION("""COMPUTED_VALUE"""),75.0)</f>
        <v>75</v>
      </c>
      <c r="B76" s="3">
        <f>IFERROR(__xludf.DUMMYFUNCTION("""COMPUTED_VALUE"""),65.0)</f>
        <v>65</v>
      </c>
      <c r="C76" s="3"/>
      <c r="D76" s="3" t="str">
        <f>IFERROR(__xludf.DUMMYFUNCTION("""COMPUTED_VALUE"""),"Павлушин Николай Олегович")</f>
        <v>Павлушин Николай Олегович</v>
      </c>
      <c r="E76" s="3"/>
      <c r="F76" s="3"/>
      <c r="G76" s="3" t="str">
        <f>IFERROR(__xludf.DUMMYFUNCTION("""COMPUTED_VALUE"""),"подтверждена ")</f>
        <v>подтверждена </v>
      </c>
    </row>
    <row r="77">
      <c r="A77" s="3">
        <f>IFERROR(__xludf.DUMMYFUNCTION("""COMPUTED_VALUE"""),15.0)</f>
        <v>15</v>
      </c>
      <c r="B77" s="3">
        <f>IFERROR(__xludf.DUMMYFUNCTION("""COMPUTED_VALUE"""),100.0)</f>
        <v>100</v>
      </c>
      <c r="C77" s="3" t="str">
        <f>IFERROR(__xludf.DUMMYFUNCTION("""COMPUTED_VALUE"""),"Суслики подмосковья")</f>
        <v>Суслики подмосковья</v>
      </c>
      <c r="D77" s="3" t="str">
        <f>IFERROR(__xludf.DUMMYFUNCTION("""COMPUTED_VALUE"""),"Савин Олег Олегович")</f>
        <v>Савин Олег Олегович</v>
      </c>
      <c r="E77" s="3"/>
      <c r="F77" s="3"/>
      <c r="G77" s="3" t="str">
        <f>IFERROR(__xludf.DUMMYFUNCTION("""COMPUTED_VALUE"""),"подтверждена ")</f>
        <v>подтверждена </v>
      </c>
    </row>
    <row r="78">
      <c r="A78" s="3">
        <f>IFERROR(__xludf.DUMMYFUNCTION("""COMPUTED_VALUE"""),39.0)</f>
        <v>39</v>
      </c>
      <c r="B78" s="3">
        <f>IFERROR(__xludf.DUMMYFUNCTION("""COMPUTED_VALUE"""),65.0)</f>
        <v>65</v>
      </c>
      <c r="C78" s="3" t="str">
        <f>IFERROR(__xludf.DUMMYFUNCTION("""COMPUTED_VALUE"""),"Хитрая выхухоль")</f>
        <v>Хитрая выхухоль</v>
      </c>
      <c r="D78" s="3" t="str">
        <f>IFERROR(__xludf.DUMMYFUNCTION("""COMPUTED_VALUE"""),"Маклакова Ирина Александровна")</f>
        <v>Маклакова Ирина Александровна</v>
      </c>
      <c r="E78" s="3"/>
      <c r="F78" s="3"/>
      <c r="G78" s="3" t="str">
        <f>IFERROR(__xludf.DUMMYFUNCTION("""COMPUTED_VALUE"""),"подтверждена")</f>
        <v>подтверждена</v>
      </c>
    </row>
    <row r="79">
      <c r="A79" s="3">
        <f>IFERROR(__xludf.DUMMYFUNCTION("""COMPUTED_VALUE"""),4.0)</f>
        <v>4</v>
      </c>
      <c r="B79" s="3">
        <f>IFERROR(__xludf.DUMMYFUNCTION("""COMPUTED_VALUE"""),100.0)</f>
        <v>100</v>
      </c>
      <c r="C79" s="3" t="str">
        <f>IFERROR(__xludf.DUMMYFUNCTION("""COMPUTED_VALUE"""),"Некрасова Екатерина")</f>
        <v>Некрасова Екатерина</v>
      </c>
      <c r="D79" s="3" t="str">
        <f>IFERROR(__xludf.DUMMYFUNCTION("""COMPUTED_VALUE"""),"Некрасова Екатерина Сергееана")</f>
        <v>Некрасова Екатерина Сергееана</v>
      </c>
      <c r="E79" s="3"/>
      <c r="F79" s="3"/>
      <c r="G79" s="3" t="str">
        <f>IFERROR(__xludf.DUMMYFUNCTION("""COMPUTED_VALUE"""),"подтверждена ")</f>
        <v>подтверждена </v>
      </c>
    </row>
    <row r="80">
      <c r="A80" s="3">
        <f>IFERROR(__xludf.DUMMYFUNCTION("""COMPUTED_VALUE"""),58.0)</f>
        <v>58</v>
      </c>
      <c r="B80" s="3">
        <f>IFERROR(__xludf.DUMMYFUNCTION("""COMPUTED_VALUE"""),100.0)</f>
        <v>100</v>
      </c>
      <c r="C80" s="3"/>
      <c r="D80" s="3" t="str">
        <f>IFERROR(__xludf.DUMMYFUNCTION("""COMPUTED_VALUE"""),"Пирожков Артур")</f>
        <v>Пирожков Артур</v>
      </c>
      <c r="E80" s="3"/>
      <c r="F80" s="3"/>
      <c r="G80" s="3" t="str">
        <f>IFERROR(__xludf.DUMMYFUNCTION("""COMPUTED_VALUE"""),"подтверждена ")</f>
        <v>подтверждена </v>
      </c>
    </row>
    <row r="81">
      <c r="A81" s="3">
        <f>IFERROR(__xludf.DUMMYFUNCTION("""COMPUTED_VALUE"""),42.0)</f>
        <v>42</v>
      </c>
      <c r="B81" s="3">
        <f>IFERROR(__xludf.DUMMYFUNCTION("""COMPUTED_VALUE"""),65.0)</f>
        <v>65</v>
      </c>
      <c r="C81" s="3" t="str">
        <f>IFERROR(__xludf.DUMMYFUNCTION("""COMPUTED_VALUE"""),"Неутомимые ходоки")</f>
        <v>Неутомимые ходоки</v>
      </c>
      <c r="D81" s="3" t="str">
        <f>IFERROR(__xludf.DUMMYFUNCTION("""COMPUTED_VALUE"""),"Филенков Кирилл Андреевич")</f>
        <v>Филенков Кирилл Андреевич</v>
      </c>
      <c r="E81" s="3" t="str">
        <f>IFERROR(__xludf.DUMMYFUNCTION("""COMPUTED_VALUE"""),"Кривель Алексей Павлович")</f>
        <v>Кривель Алексей Павлович</v>
      </c>
      <c r="F81" s="3"/>
      <c r="G81" s="3" t="str">
        <f>IFERROR(__xludf.DUMMYFUNCTION("""COMPUTED_VALUE"""),"подтверждена ")</f>
        <v>подтверждена </v>
      </c>
    </row>
    <row r="82">
      <c r="A82" s="3">
        <f>IFERROR(__xludf.DUMMYFUNCTION("""COMPUTED_VALUE"""),2.0)</f>
        <v>2</v>
      </c>
      <c r="B82" s="3">
        <f>IFERROR(__xludf.DUMMYFUNCTION("""COMPUTED_VALUE"""),100.0)</f>
        <v>100</v>
      </c>
      <c r="C82" s="3" t="str">
        <f>IFERROR(__xludf.DUMMYFUNCTION("""COMPUTED_VALUE"""),"Пересвет")</f>
        <v>Пересвет</v>
      </c>
      <c r="D82" s="3" t="str">
        <f>IFERROR(__xludf.DUMMYFUNCTION("""COMPUTED_VALUE"""),"Дочкин Андрей Сергеевич")</f>
        <v>Дочкин Андрей Сергеевич</v>
      </c>
      <c r="E82" s="3"/>
      <c r="F82" s="3"/>
      <c r="G82" s="3" t="str">
        <f>IFERROR(__xludf.DUMMYFUNCTION("""COMPUTED_VALUE"""),"подтверждена ")</f>
        <v>подтверждена </v>
      </c>
    </row>
    <row r="83">
      <c r="A83" s="3">
        <f>IFERROR(__xludf.DUMMYFUNCTION("""COMPUTED_VALUE"""),28.0)</f>
        <v>28</v>
      </c>
      <c r="B83" s="3">
        <f>IFERROR(__xludf.DUMMYFUNCTION("""COMPUTED_VALUE"""),65.0)</f>
        <v>65</v>
      </c>
      <c r="C83" s="3" t="str">
        <f>IFERROR(__xludf.DUMMYFUNCTION("""COMPUTED_VALUE"""),"Я и опять я")</f>
        <v>Я и опять я</v>
      </c>
      <c r="D83" s="3" t="str">
        <f>IFERROR(__xludf.DUMMYFUNCTION("""COMPUTED_VALUE"""),"Павловских Дмитрий Ремзиевич")</f>
        <v>Павловских Дмитрий Ремзиевич</v>
      </c>
      <c r="E83" s="3"/>
      <c r="F83" s="3"/>
      <c r="G83" s="3" t="str">
        <f>IFERROR(__xludf.DUMMYFUNCTION("""COMPUTED_VALUE"""),"подтверждена ")</f>
        <v>подтверждена </v>
      </c>
    </row>
    <row r="84">
      <c r="A84" s="3">
        <f>IFERROR(__xludf.DUMMYFUNCTION("""COMPUTED_VALUE"""),57.0)</f>
        <v>57</v>
      </c>
      <c r="B84" s="3">
        <f>IFERROR(__xludf.DUMMYFUNCTION("""COMPUTED_VALUE"""),65.0)</f>
        <v>65</v>
      </c>
      <c r="C84" s="3" t="str">
        <f>IFERROR(__xludf.DUMMYFUNCTION("""COMPUTED_VALUE"""),"white")</f>
        <v>white</v>
      </c>
      <c r="D84" s="3" t="str">
        <f>IFERROR(__xludf.DUMMYFUNCTION("""COMPUTED_VALUE"""),"Зимаков Андрей")</f>
        <v>Зимаков Андрей</v>
      </c>
      <c r="E84" s="3"/>
      <c r="F84" s="3"/>
      <c r="G84" s="3" t="str">
        <f>IFERROR(__xludf.DUMMYFUNCTION("""COMPUTED_VALUE"""),"подтверждена ")</f>
        <v>подтверждена </v>
      </c>
    </row>
    <row r="85">
      <c r="A85" s="3">
        <f>IFERROR(__xludf.DUMMYFUNCTION("""COMPUTED_VALUE"""),17.0)</f>
        <v>17</v>
      </c>
      <c r="B85" s="3">
        <f>IFERROR(__xludf.DUMMYFUNCTION("""COMPUTED_VALUE"""),100.0)</f>
        <v>100</v>
      </c>
      <c r="C85" s="3" t="str">
        <f>IFERROR(__xludf.DUMMYFUNCTION("""COMPUTED_VALUE"""),"От забора до заката")</f>
        <v>От забора до заката</v>
      </c>
      <c r="D85" s="3" t="str">
        <f>IFERROR(__xludf.DUMMYFUNCTION("""COMPUTED_VALUE"""),"Соколов Константин Викторович")</f>
        <v>Соколов Константин Викторович</v>
      </c>
      <c r="E85" s="3"/>
      <c r="F85" s="3"/>
      <c r="G85" s="3" t="str">
        <f>IFERROR(__xludf.DUMMYFUNCTION("""COMPUTED_VALUE"""),"подтверждена ")</f>
        <v>подтверждена </v>
      </c>
    </row>
    <row r="86">
      <c r="A86" s="3">
        <f>IFERROR(__xludf.DUMMYFUNCTION("""COMPUTED_VALUE"""),16.0)</f>
        <v>16</v>
      </c>
      <c r="B86" s="3">
        <f>IFERROR(__xludf.DUMMYFUNCTION("""COMPUTED_VALUE"""),65.0)</f>
        <v>65</v>
      </c>
      <c r="C86" s="3" t="str">
        <f>IFERROR(__xludf.DUMMYFUNCTION("""COMPUTED_VALUE"""),"Атом")</f>
        <v>Атом</v>
      </c>
      <c r="D86" s="3" t="str">
        <f>IFERROR(__xludf.DUMMYFUNCTION("""COMPUTED_VALUE"""),"Крылов Сергей")</f>
        <v>Крылов Сергей</v>
      </c>
      <c r="E86" s="3"/>
      <c r="F86" s="3"/>
      <c r="G86" s="3" t="str">
        <f>IFERROR(__xludf.DUMMYFUNCTION("""COMPUTED_VALUE"""),"подтверждена ")</f>
        <v>подтверждена </v>
      </c>
    </row>
    <row r="87">
      <c r="A87" s="3">
        <f>IFERROR(__xludf.DUMMYFUNCTION("""COMPUTED_VALUE"""),20.0)</f>
        <v>20</v>
      </c>
      <c r="B87" s="3">
        <f>IFERROR(__xludf.DUMMYFUNCTION("""COMPUTED_VALUE"""),35.0)</f>
        <v>35</v>
      </c>
      <c r="C87" s="3"/>
      <c r="D87" s="3" t="str">
        <f>IFERROR(__xludf.DUMMYFUNCTION("""COMPUTED_VALUE"""),"Петрухин Максим Витальевич")</f>
        <v>Петрухин Максим Витальевич</v>
      </c>
      <c r="E87" s="3" t="str">
        <f>IFERROR(__xludf.DUMMYFUNCTION("""COMPUTED_VALUE"""),"Орлова Наталья Витальевна")</f>
        <v>Орлова Наталья Витальевна</v>
      </c>
      <c r="F87" s="3"/>
      <c r="G87" s="3" t="str">
        <f>IFERROR(__xludf.DUMMYFUNCTION("""COMPUTED_VALUE"""),"подтверждена ")</f>
        <v>подтверждена </v>
      </c>
    </row>
    <row r="88">
      <c r="A88" s="3">
        <f>IFERROR(__xludf.DUMMYFUNCTION("""COMPUTED_VALUE"""),36.0)</f>
        <v>36</v>
      </c>
      <c r="B88" s="3">
        <f>IFERROR(__xludf.DUMMYFUNCTION("""COMPUTED_VALUE"""),65.0)</f>
        <v>65</v>
      </c>
      <c r="C88" s="3"/>
      <c r="D88" s="3" t="str">
        <f>IFERROR(__xludf.DUMMYFUNCTION("""COMPUTED_VALUE"""),"Александр")</f>
        <v>Александр</v>
      </c>
      <c r="E88" s="3" t="str">
        <f>IFERROR(__xludf.DUMMYFUNCTION("""COMPUTED_VALUE"""),"Дарья")</f>
        <v>Дарья</v>
      </c>
      <c r="F88" s="3"/>
      <c r="G88" s="3" t="str">
        <f>IFERROR(__xludf.DUMMYFUNCTION("""COMPUTED_VALUE"""),"подтверждена ")</f>
        <v>подтверждена </v>
      </c>
    </row>
    <row r="89">
      <c r="A89" s="3">
        <f>IFERROR(__xludf.DUMMYFUNCTION("""COMPUTED_VALUE"""),54.0)</f>
        <v>54</v>
      </c>
      <c r="B89" s="3">
        <f>IFERROR(__xludf.DUMMYFUNCTION("""COMPUTED_VALUE"""),45.0)</f>
        <v>45</v>
      </c>
      <c r="C89" s="3" t="str">
        <f>IFERROR(__xludf.DUMMYFUNCTION("""COMPUTED_VALUE"""),"беридив@н")</f>
        <v>беридив@н</v>
      </c>
      <c r="D89" s="3" t="str">
        <f>IFERROR(__xludf.DUMMYFUNCTION("""COMPUTED_VALUE"""),"Отрашкевич Алексей ")</f>
        <v>Отрашкевич Алексей </v>
      </c>
      <c r="E89" s="3" t="str">
        <f>IFERROR(__xludf.DUMMYFUNCTION("""COMPUTED_VALUE"""),"Камышев Евгений ")</f>
        <v>Камышев Евгений </v>
      </c>
      <c r="F89" s="3" t="str">
        <f>IFERROR(__xludf.DUMMYFUNCTION("""COMPUTED_VALUE"""),"Камышева Анна ")</f>
        <v>Камышева Анна </v>
      </c>
      <c r="G89" s="3" t="str">
        <f>IFERROR(__xludf.DUMMYFUNCTION("""COMPUTED_VALUE"""),"подтверждена ")</f>
        <v>подтверждена </v>
      </c>
    </row>
    <row r="90">
      <c r="A90" s="3">
        <f>IFERROR(__xludf.DUMMYFUNCTION("""COMPUTED_VALUE"""),92.0)</f>
        <v>92</v>
      </c>
      <c r="B90" s="3">
        <f>IFERROR(__xludf.DUMMYFUNCTION("""COMPUTED_VALUE"""),20.0)</f>
        <v>20</v>
      </c>
      <c r="C90" s="3"/>
      <c r="D90" s="3" t="str">
        <f>IFERROR(__xludf.DUMMYFUNCTION("""COMPUTED_VALUE"""),"Поляков Алексей")</f>
        <v>Поляков Алексей</v>
      </c>
      <c r="E90" s="3" t="str">
        <f>IFERROR(__xludf.DUMMYFUNCTION("""COMPUTED_VALUE"""),"Кузин Александр")</f>
        <v>Кузин Александр</v>
      </c>
      <c r="F90" s="3"/>
      <c r="G90" s="3"/>
    </row>
    <row r="91">
      <c r="A91" s="3">
        <f>IFERROR(__xludf.DUMMYFUNCTION("""COMPUTED_VALUE"""),31.0)</f>
        <v>31</v>
      </c>
      <c r="B91" s="3">
        <f>IFERROR(__xludf.DUMMYFUNCTION("""COMPUTED_VALUE"""),35.0)</f>
        <v>35</v>
      </c>
      <c r="C91" s="3" t="str">
        <f>IFERROR(__xludf.DUMMYFUNCTION("""COMPUTED_VALUE"""),"Качуха")</f>
        <v>Качуха</v>
      </c>
      <c r="D91" s="3" t="str">
        <f>IFERROR(__xludf.DUMMYFUNCTION("""COMPUTED_VALUE"""),"Андреева Анна Николаевна")</f>
        <v>Андреева Анна Николаевна</v>
      </c>
      <c r="E91" s="3"/>
      <c r="F91" s="3"/>
      <c r="G91" s="3" t="str">
        <f>IFERROR(__xludf.DUMMYFUNCTION("""COMPUTED_VALUE"""),"подтверждена ")</f>
        <v>подтверждена </v>
      </c>
    </row>
    <row r="92">
      <c r="A92" s="16"/>
      <c r="B92" s="16"/>
      <c r="C92" s="16"/>
      <c r="D92" s="16"/>
      <c r="E92" s="16"/>
      <c r="F92" s="16"/>
      <c r="G92" s="16"/>
    </row>
    <row r="93">
      <c r="A93" s="16"/>
      <c r="B93" s="16"/>
      <c r="C93" s="16"/>
      <c r="D93" s="16"/>
      <c r="E93" s="16"/>
      <c r="F93" s="16"/>
      <c r="G93" s="16"/>
    </row>
    <row r="94">
      <c r="A94" s="16"/>
      <c r="B94" s="16"/>
      <c r="C94" s="16"/>
      <c r="D94" s="16"/>
      <c r="E94" s="16"/>
      <c r="F94" s="16"/>
      <c r="G94" s="16"/>
    </row>
    <row r="95">
      <c r="A95" s="16"/>
      <c r="B95" s="16"/>
      <c r="C95" s="16"/>
      <c r="D95" s="16"/>
      <c r="E95" s="16"/>
      <c r="F95" s="16"/>
      <c r="G95" s="16"/>
    </row>
    <row r="96">
      <c r="A96" s="16"/>
      <c r="B96" s="16"/>
      <c r="C96" s="16"/>
      <c r="D96" s="16"/>
      <c r="E96" s="16"/>
      <c r="F96" s="16"/>
      <c r="G96" s="16"/>
    </row>
    <row r="97">
      <c r="A97" s="16"/>
      <c r="B97" s="16"/>
      <c r="C97" s="16"/>
      <c r="D97" s="16"/>
      <c r="E97" s="16"/>
      <c r="F97" s="16"/>
      <c r="G97" s="16"/>
    </row>
    <row r="98">
      <c r="A98" s="16"/>
      <c r="B98" s="16"/>
      <c r="C98" s="16"/>
      <c r="D98" s="16"/>
      <c r="E98" s="16"/>
      <c r="F98" s="16"/>
      <c r="G98" s="16"/>
    </row>
    <row r="99">
      <c r="A99" s="16"/>
      <c r="B99" s="16"/>
      <c r="C99" s="16"/>
      <c r="D99" s="16"/>
      <c r="E99" s="16"/>
      <c r="F99" s="16"/>
      <c r="G99" s="16"/>
    </row>
    <row r="100">
      <c r="A100" s="16"/>
      <c r="B100" s="16"/>
      <c r="C100" s="16"/>
      <c r="D100" s="16"/>
      <c r="E100" s="16"/>
      <c r="F100" s="16"/>
      <c r="G100" s="16"/>
    </row>
    <row r="101">
      <c r="A101" s="16"/>
      <c r="B101" s="16"/>
      <c r="C101" s="16"/>
      <c r="D101" s="16"/>
      <c r="E101" s="16"/>
      <c r="F101" s="16"/>
      <c r="G101" s="16"/>
    </row>
  </sheetData>
  <mergeCells count="1">
    <mergeCell ref="A1:G1"/>
  </mergeCells>
  <drawing r:id="rId1"/>
</worksheet>
</file>